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E:\NUNCA PENDRIVE\2024\Edital Concorrencia\00 Usina Fotovoltaica\"/>
    </mc:Choice>
  </mc:AlternateContent>
  <xr:revisionPtr revIDLastSave="0" documentId="13_ncr:1_{8EC877F7-DB14-40F0-9171-F7A35DDBC35F}" xr6:coauthVersionLast="47" xr6:coauthVersionMax="47" xr10:uidLastSave="{00000000-0000-0000-0000-000000000000}"/>
  <bookViews>
    <workbookView xWindow="-120" yWindow="-120" windowWidth="29040" windowHeight="15720" tabRatio="846" activeTab="1" xr2:uid="{00000000-000D-0000-FFFF-FFFF00000000}"/>
  </bookViews>
  <sheets>
    <sheet name=" Resumo Custos" sheetId="9" r:id="rId1"/>
    <sheet name="Cronograma" sheetId="6" r:id="rId2"/>
    <sheet name="BDI" sheetId="10" r:id="rId3"/>
    <sheet name="Composição Custos - Aberto" sheetId="11" state="hidden" r:id="rId4"/>
  </sheets>
  <definedNames>
    <definedName name="_xlnm._FilterDatabase" localSheetId="3" hidden="1">#N/A</definedName>
    <definedName name="_Toc437019489" localSheetId="3">#N/A</definedName>
    <definedName name="_xlnm.Print_Area" localSheetId="0">#N/A</definedName>
    <definedName name="_xlnm.Print_Area" localSheetId="2">#N/A</definedName>
    <definedName name="_xlnm.Print_Area" localSheetId="3">#N/A</definedName>
    <definedName name="_xlnm.Print_Area" localSheetId="1">#N/A</definedName>
    <definedName name="_xlnm.Print_Titles" localSheetId="0">#N/A</definedName>
    <definedName name="_xlnm.Print_Titles" localSheetId="3">#N/A</definedName>
    <definedName name="_xlnm.Print_Titles" localSheetId="1">#N/A</definedName>
  </definedNames>
  <calcPr calcId="191029"/>
</workbook>
</file>

<file path=xl/calcChain.xml><?xml version="1.0" encoding="utf-8"?>
<calcChain xmlns="http://schemas.openxmlformats.org/spreadsheetml/2006/main">
  <c r="L62" i="6" l="1"/>
  <c r="K62" i="6"/>
  <c r="J62" i="6"/>
  <c r="I62" i="6"/>
  <c r="H62" i="6"/>
  <c r="L61" i="6"/>
  <c r="K61" i="6"/>
  <c r="J61" i="6"/>
  <c r="I61" i="6"/>
  <c r="H61" i="6"/>
  <c r="F20" i="11"/>
  <c r="G20" i="11" s="1"/>
  <c r="F18" i="11"/>
  <c r="G18" i="11" s="1"/>
  <c r="F29" i="11"/>
  <c r="G29" i="11" s="1"/>
  <c r="F28" i="11"/>
  <c r="G28" i="11" s="1"/>
  <c r="G21" i="11"/>
  <c r="F35" i="11"/>
  <c r="G35" i="11" s="1"/>
  <c r="G26" i="11"/>
  <c r="G17" i="11"/>
  <c r="E16" i="11"/>
  <c r="I52" i="11"/>
  <c r="G14" i="11"/>
  <c r="F39" i="11"/>
  <c r="F34" i="11"/>
  <c r="G34" i="11" s="1"/>
  <c r="F37" i="11"/>
  <c r="G37" i="11"/>
  <c r="F43" i="11"/>
  <c r="G43" i="11"/>
  <c r="F38" i="11"/>
  <c r="G38" i="11"/>
  <c r="F32" i="11"/>
  <c r="G32" i="11"/>
  <c r="F48" i="11"/>
  <c r="G48" i="11" s="1"/>
  <c r="F42" i="11"/>
  <c r="G42" i="11"/>
  <c r="F47" i="11"/>
  <c r="G47" i="11"/>
  <c r="F33" i="11"/>
  <c r="G33" i="11"/>
  <c r="F31" i="11"/>
  <c r="G31" i="11"/>
  <c r="G39" i="11"/>
  <c r="F40" i="11"/>
  <c r="G40" i="11" s="1"/>
  <c r="F16" i="11"/>
  <c r="G16" i="11" s="1"/>
  <c r="F15" i="11"/>
  <c r="G15" i="11" s="1"/>
  <c r="G22" i="11" s="1"/>
  <c r="F19" i="11"/>
  <c r="G19" i="11" s="1"/>
  <c r="F45" i="11"/>
  <c r="G45" i="11"/>
  <c r="F30" i="11"/>
  <c r="G30" i="11"/>
  <c r="F27" i="11"/>
  <c r="G27" i="11" s="1"/>
  <c r="F41" i="11"/>
  <c r="G41" i="11" s="1"/>
  <c r="F44" i="11"/>
  <c r="G44" i="11" s="1"/>
  <c r="F46" i="11"/>
  <c r="G46" i="11" s="1"/>
  <c r="F36" i="11"/>
  <c r="G36" i="11"/>
  <c r="G50" i="11" l="1"/>
  <c r="J22" i="11"/>
  <c r="G52" i="11"/>
  <c r="J52" i="11" s="1"/>
</calcChain>
</file>

<file path=xl/sharedStrings.xml><?xml version="1.0" encoding="utf-8"?>
<sst xmlns="http://schemas.openxmlformats.org/spreadsheetml/2006/main" count="424" uniqueCount="214">
  <si>
    <t>ITEM</t>
  </si>
  <si>
    <t>UNID.</t>
  </si>
  <si>
    <t>1.1</t>
  </si>
  <si>
    <t>1.2</t>
  </si>
  <si>
    <t>DESCRIÇÃO</t>
  </si>
  <si>
    <t>MÃO DE OBRA</t>
  </si>
  <si>
    <t>CÓD.</t>
  </si>
  <si>
    <t>DESCRIÇÃO DOS INSUMOS</t>
  </si>
  <si>
    <t>TOTAL CUSTO UNITÁRIO</t>
  </si>
  <si>
    <t>DESCRIÇÃO DOS SERVIÇOS</t>
  </si>
  <si>
    <t>TOTAL DO ITEM (R$)</t>
  </si>
  <si>
    <t>% DO ITEM (R$)</t>
  </si>
  <si>
    <t>*</t>
  </si>
  <si>
    <t>TOTAL DOS CUSTOS DIRETOS (TCD's)</t>
  </si>
  <si>
    <t>MÊS 01</t>
  </si>
  <si>
    <t>MÊS 02</t>
  </si>
  <si>
    <t>MÊS 03</t>
  </si>
  <si>
    <t>MÊS 04</t>
  </si>
  <si>
    <t>1.3</t>
  </si>
  <si>
    <t>TOTAL</t>
  </si>
  <si>
    <t>un</t>
  </si>
  <si>
    <t>COMPOSIÇÃO DE CUSTOS</t>
  </si>
  <si>
    <t>RESUMO DE CUSTOS</t>
  </si>
  <si>
    <t>Onde:</t>
  </si>
  <si>
    <t>E – Taxa de Lucro Bruto</t>
  </si>
  <si>
    <t>F – Taxa dos Tributos sobre o Faturamento</t>
  </si>
  <si>
    <t>Item</t>
  </si>
  <si>
    <t>A</t>
  </si>
  <si>
    <t>B</t>
  </si>
  <si>
    <t>C</t>
  </si>
  <si>
    <t>D</t>
  </si>
  <si>
    <t>E</t>
  </si>
  <si>
    <t>F</t>
  </si>
  <si>
    <t>F.1</t>
  </si>
  <si>
    <t>F.2</t>
  </si>
  <si>
    <t>F.4</t>
  </si>
  <si>
    <t>Garantia</t>
  </si>
  <si>
    <t>Risco</t>
  </si>
  <si>
    <t>Despesas Financeiras</t>
  </si>
  <si>
    <t>Administração Central</t>
  </si>
  <si>
    <t>Lucro Bruto</t>
  </si>
  <si>
    <t>Taxa dos Tributos sobre o Faturamento</t>
  </si>
  <si>
    <t>ISS</t>
  </si>
  <si>
    <t>COFINS</t>
  </si>
  <si>
    <t>PIS</t>
  </si>
  <si>
    <t>BDI</t>
  </si>
  <si>
    <t>CPRB - Contribuição Previdenciária sobre a Receita Bruta</t>
  </si>
  <si>
    <t>F.3</t>
  </si>
  <si>
    <t>G</t>
  </si>
  <si>
    <t>Sendo:</t>
  </si>
  <si>
    <r>
      <rPr>
        <vertAlign val="superscript"/>
        <sz val="9"/>
        <color indexed="8"/>
        <rFont val="Calibri"/>
        <family val="2"/>
      </rPr>
      <t>(1)</t>
    </r>
    <r>
      <rPr>
        <sz val="9"/>
        <color indexed="8"/>
        <rFont val="Calibri"/>
        <family val="2"/>
      </rPr>
      <t xml:space="preserve"> Despesas Administrativas são um percentual incluído no contrato para suprir gastos gerais que a empresa efetua com a sua administração, tais como: aluguel da sede, salários dos funcionários da sede, material de expediente, entre outros.</t>
    </r>
  </si>
  <si>
    <r>
      <rPr>
        <vertAlign val="superscript"/>
        <sz val="9"/>
        <color indexed="8"/>
        <rFont val="Calibri"/>
        <family val="2"/>
      </rPr>
      <t>(2)</t>
    </r>
    <r>
      <rPr>
        <sz val="9"/>
        <color indexed="8"/>
        <rFont val="Calibri"/>
        <family val="2"/>
      </rPr>
      <t xml:space="preserve"> A previsão de lucro na contratação é calculada pela aplicação de uma taxa percentual sobre o total dos custos e despesas (inclusive as despesas administrativas), excluídas, apenas, as despesas fiscais sobre o faturamento.</t>
    </r>
  </si>
  <si>
    <r>
      <rPr>
        <vertAlign val="superscript"/>
        <sz val="9"/>
        <color indexed="8"/>
        <rFont val="Calibri"/>
        <family val="2"/>
      </rPr>
      <t>(3)</t>
    </r>
    <r>
      <rPr>
        <sz val="9"/>
        <color indexed="8"/>
        <rFont val="Calibri"/>
        <family val="2"/>
      </rPr>
      <t xml:space="preserve"> Tributos sobre o faturamento são aqueles que incidem no preço final do serviço, quais sejam: Imposto sobre Serviços de Qualquer Natureza (ISS), Contribuição para os Programas de Integração Social (PIS) e Contribuição para o Financiamento da Seguridade Social (COFINS).</t>
    </r>
  </si>
  <si>
    <t>D – Taxa de Despesas Administrativas</t>
  </si>
  <si>
    <t>A definição do valor para essa rubrica é inferida, visto que até empresas de um mesmo ramo de atividade podem possuir despesas totalmente distintas em razão de diversos fatores como localização da sede, quantitativo de funcionários e nível de automação do escritório. Estudos na construção civil aponto para valores entre 2,99% a 7,30%.</t>
  </si>
  <si>
    <t>Considera-se adequada uma margem de Lucro Bruto entre 6,33% e 11,33%, observando tratar-se de “Lucro Bruto”, ou seja, antes das deduções referentes a tributos sobre o lucro (Contribuição Social sobre o Lucro Líquido – CSLL e Imposto de Renda Pessoa Jurídica – IRPJ).</t>
  </si>
  <si>
    <t>Quanto ao Imposto sobre Serviços de qualquer natureza – ISS, foi utilizada a alíquota geral de 5,00% sobre o faturamento ou preço final, conforme Lei Complementar nº 8 de 21/12/2001 - Tabela VI, da Prefeitura Municipal de Costa Rica.</t>
  </si>
  <si>
    <t>CUSTO UNITÁRIO - TOTAL DE MÃO DE OBRA</t>
  </si>
  <si>
    <t>Local:</t>
  </si>
  <si>
    <t>1.1.1</t>
  </si>
  <si>
    <t>1.1.2</t>
  </si>
  <si>
    <t>1.1.3</t>
  </si>
  <si>
    <t>1.1.4</t>
  </si>
  <si>
    <t>1.1.5</t>
  </si>
  <si>
    <t>Projeto "AS BUILT" do sistema fotovoltaico e documentação</t>
  </si>
  <si>
    <t>Comissionamento e aceite provisório</t>
  </si>
  <si>
    <t>Referência (*): Preço pesquisa de mercado</t>
  </si>
  <si>
    <t>De</t>
  </si>
  <si>
    <t>Até</t>
  </si>
  <si>
    <t>Intervalo sem Justificar</t>
  </si>
  <si>
    <t>Composição</t>
  </si>
  <si>
    <t>Adotada</t>
  </si>
  <si>
    <t>+</t>
  </si>
  <si>
    <t>)</t>
  </si>
  <si>
    <t>(</t>
  </si>
  <si>
    <t>-</t>
  </si>
  <si>
    <t>BDI =</t>
  </si>
  <si>
    <t>No que se refere aos percentuais de Contribuição para Programas de Integração Social – PIS e para o Financiamento da Seguridade Social – COFINS, apesar dos diversos regimes especiais de apuração, foi considerado à incidência cumulativa, cujas alíquotas são: 0,65% para o PIS e 3,00% para a COFINS. Lei nº 10.637, de 30/12/2002 e Lei nº 10.833, de 29/12/2003.</t>
  </si>
  <si>
    <t>Observação:</t>
  </si>
  <si>
    <t>admissíveis nos termos do Acórdão 2.622/2013 do TCU.</t>
  </si>
  <si>
    <t>i)  Fórmula de cálculo, composição do BDI e intervalos</t>
  </si>
  <si>
    <t>ii) BDI calculado entre 25% e 30%.</t>
  </si>
  <si>
    <t>Elaboração e aprovação dos projetos executivo das usinas na Concessionária de Energia local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</si>
  <si>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</si>
  <si>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</si>
  <si>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</si>
  <si>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</si>
  <si>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</si>
  <si>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</si>
  <si>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</si>
  <si>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</si>
  <si>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GRANDEZA</t>
  </si>
  <si>
    <t>CUSTO UNITÁRIO</t>
  </si>
  <si>
    <t>Mobilização e desmobilização de canteiro de obras</t>
  </si>
  <si>
    <t>Transporte de material com DMT 900 km</t>
  </si>
  <si>
    <t>km.ton</t>
  </si>
  <si>
    <t>Mão de obra para instalação completa da usina solar fotovoltaica</t>
  </si>
  <si>
    <t>Fornecimento dos módulos fotovoltaicos</t>
  </si>
  <si>
    <t>MATERIAL E EQUIPAMENTOS</t>
  </si>
  <si>
    <t>Fornecimento dos Quadros de Corrente Alternada (CA)</t>
  </si>
  <si>
    <t>Fornecimento do autotransformador com tensão de saída 220/127 Volts, e potência aparente compatível com a soma das potências ativas dos Inversores</t>
  </si>
  <si>
    <t>Fornecimento dos cabos CC - Cabo Solar</t>
  </si>
  <si>
    <t>br</t>
  </si>
  <si>
    <t>m</t>
  </si>
  <si>
    <t>cj</t>
  </si>
  <si>
    <t>Fornecimento dos cabos nu #25 mm², para a malha de aterramento</t>
  </si>
  <si>
    <t>Fornecimento dos DPS - Dispositivos de Proteção Contra Surto 45 kA (CA)</t>
  </si>
  <si>
    <r>
      <t xml:space="preserve">Fornecimento das hastes de terra, alta camada, </t>
    </r>
    <r>
      <rPr>
        <sz val="8"/>
        <rFont val="Calibri"/>
        <family val="2"/>
      </rPr>
      <t>Ø</t>
    </r>
    <r>
      <rPr>
        <sz val="8"/>
        <rFont val="Arial"/>
        <family val="2"/>
      </rPr>
      <t xml:space="preserve"> 5/8 x 2400 mm - Aterramento da Usina Solar</t>
    </r>
  </si>
  <si>
    <t>Fornecimento das caixas de conexões dos cabos (CC)</t>
  </si>
  <si>
    <r>
      <t xml:space="preserve">Fornecimento dos eletrodutos de ferro zincado </t>
    </r>
    <r>
      <rPr>
        <sz val="8"/>
        <rFont val="Calibri"/>
        <family val="2"/>
      </rPr>
      <t>Ø</t>
    </r>
    <r>
      <rPr>
        <sz val="8"/>
        <rFont val="Arial"/>
        <family val="2"/>
      </rPr>
      <t xml:space="preserve"> 1", em barra de 3m, para os cabos CC</t>
    </r>
  </si>
  <si>
    <r>
      <t xml:space="preserve">Fornecimento dos eletrodutos de ferro zincado </t>
    </r>
    <r>
      <rPr>
        <sz val="8"/>
        <rFont val="Calibri"/>
        <family val="2"/>
      </rPr>
      <t>Ø</t>
    </r>
    <r>
      <rPr>
        <sz val="8"/>
        <rFont val="Arial"/>
        <family val="2"/>
      </rPr>
      <t xml:space="preserve"> 1", em barra de 3m, para os cabos CA</t>
    </r>
  </si>
  <si>
    <r>
      <t xml:space="preserve">Fornecimento dos eletrodutos de ferro zincado </t>
    </r>
    <r>
      <rPr>
        <sz val="8"/>
        <rFont val="Calibri"/>
        <family val="2"/>
      </rPr>
      <t>Ø</t>
    </r>
    <r>
      <rPr>
        <sz val="8"/>
        <rFont val="Arial"/>
        <family val="2"/>
      </rPr>
      <t xml:space="preserve"> 2", em barra de 3m, para os cabos CA</t>
    </r>
  </si>
  <si>
    <t>Fornecimento das caixas de conexões dos cabos (CA)</t>
  </si>
  <si>
    <t>Fornecimento dos cabos CA, tipo XLPE, isolação 0,6/1 kV, seção 50 mm²</t>
  </si>
  <si>
    <t>Fornecimento dos cabos CA, tipo XLPE, isolação 0,6/1 kV, seção 120 mm²</t>
  </si>
  <si>
    <t>Fornecimento dos conectores e terminais para cabos CC</t>
  </si>
  <si>
    <t>Fornecimento dos conectores e terminais para cabos CA</t>
  </si>
  <si>
    <t>Fornecimento das eletrocalhas para os cabos CC e CA - Barra 3 m</t>
  </si>
  <si>
    <t>Fornecimento de inversores de 36 kW</t>
  </si>
  <si>
    <t>CUSTO UNIT. TOTAL DE MATERIAL E EQUIPAMENTOS</t>
  </si>
  <si>
    <t>Fornecimento dos DPS - Dispositivos de Proteção Contra Surto 20 kA (CC)</t>
  </si>
  <si>
    <t>Fornecimento de estrutura metálica para fixar os módulos fotovoltaicos</t>
  </si>
  <si>
    <t>kit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</si>
  <si>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</si>
  <si>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</si>
  <si>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</si>
  <si>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</si>
  <si>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</si>
  <si>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</si>
  <si>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</si>
  <si>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</si>
  <si>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</si>
  <si>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</si>
  <si>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</si>
  <si>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</si>
  <si>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</si>
  <si>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</si>
  <si>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</si>
  <si>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1.1.6</t>
  </si>
  <si>
    <t>1.1.7</t>
  </si>
  <si>
    <t>Fornecimento dos Quadros de Corrente Contínua - CC (String Box's Solar), completo</t>
  </si>
  <si>
    <t>Fornecimento dos Disjuntores para proteção dos circuitos CA - 3P-150 A</t>
  </si>
  <si>
    <t>Fornecimento dos Disjuntores para proteção dos circuitos CA - 3P-200 A</t>
  </si>
  <si>
    <t>TOTAL R$</t>
  </si>
  <si>
    <t xml:space="preserve">ENDEREÇO: </t>
  </si>
  <si>
    <t xml:space="preserve">OBRA .......: </t>
  </si>
  <si>
    <t xml:space="preserve">OBRA ........: </t>
  </si>
  <si>
    <t xml:space="preserve"> ENDEREÇO: </t>
  </si>
  <si>
    <t xml:space="preserve"> OBRA ........: </t>
  </si>
  <si>
    <t>Instalação de almoxarifado</t>
  </si>
  <si>
    <t>1.1.8</t>
  </si>
  <si>
    <t>Impostos, encargos e lucro</t>
  </si>
  <si>
    <t>Em %</t>
  </si>
  <si>
    <t>Data da Elaboração:</t>
  </si>
  <si>
    <t>Potência da Usina - Módulos Solares (TOTAL):</t>
  </si>
  <si>
    <t>Potência da Usina - Inversores (TOTAL):</t>
  </si>
  <si>
    <t>Tensão Primária de Conexão:</t>
  </si>
  <si>
    <t>Tensão Secundária de Conexão:</t>
  </si>
  <si>
    <t>Potência da SE / PT:</t>
  </si>
  <si>
    <t xml:space="preserve"> - Autor do Projeto Básico -</t>
  </si>
  <si>
    <t>PERCENTUAL - SIMPLES</t>
  </si>
  <si>
    <t>PERCENTUAL - ACUMULADO</t>
  </si>
  <si>
    <t>TOTAL - SIMPLES</t>
  </si>
  <si>
    <t>TOTAL - ACUMULADO</t>
  </si>
  <si>
    <t>Kit Solar CC (Corrente Contínua) - Fornecimento e Instalação</t>
  </si>
  <si>
    <t>Módulos Fotovoltáicos</t>
  </si>
  <si>
    <t>Kit Solar CA (Corrente Alternada) - Fornecimento e Instalação</t>
  </si>
  <si>
    <t>2.1</t>
  </si>
  <si>
    <t>Quadros Elétricos CA (Corrente Alternada)</t>
  </si>
  <si>
    <t>2.2</t>
  </si>
  <si>
    <t>Cabos Isolados 0,6/1 kV CA e Tubulação</t>
  </si>
  <si>
    <t>2.3</t>
  </si>
  <si>
    <t>Dispositivos de Proteção CA</t>
  </si>
  <si>
    <t>2.4</t>
  </si>
  <si>
    <t>Aterramento da Usina</t>
  </si>
  <si>
    <t>2.5</t>
  </si>
  <si>
    <t>Valor:</t>
  </si>
  <si>
    <t>MÊS 05</t>
  </si>
  <si>
    <t>CRONOGRAMA FÍSICO-FINANCEIRO DE REFERÊNCIA</t>
  </si>
  <si>
    <t>Em R$</t>
  </si>
  <si>
    <t>VALOR DO ITEM</t>
  </si>
  <si>
    <t>MESES A PARTIR DA LIBERAÇÃO DA ORDEM DE SERVIÇO</t>
  </si>
  <si>
    <t>MÊS 06</t>
  </si>
  <si>
    <t>Segurança e Controle da Usina</t>
  </si>
  <si>
    <t>3.1</t>
  </si>
  <si>
    <t>Cercamento de todo o perímetro do terreno com cerca tipo tela</t>
  </si>
  <si>
    <t>3.2</t>
  </si>
  <si>
    <t>3.3</t>
  </si>
  <si>
    <t>Sistema de Monitoramento por Câmeras (CFTV)</t>
  </si>
  <si>
    <t>3.4</t>
  </si>
  <si>
    <t>Sistema de Iluminação Externa</t>
  </si>
  <si>
    <t>Sebastião Dussel dos Santos</t>
  </si>
  <si>
    <t>Engenheiro Eletricista - CREA 4.207/D-MS</t>
  </si>
  <si>
    <t>USINA SOLAR DA PREFEITURA DE RIBAS DO RIO PARDO</t>
  </si>
  <si>
    <t>380/220 Volts</t>
  </si>
  <si>
    <t>Inversores</t>
  </si>
  <si>
    <t/>
  </si>
  <si>
    <t>Engenheiro Eletricista  Sebastião Dussel dos Santos</t>
  </si>
  <si>
    <t>CREA: 4.207/D-MS   -   CPF 106.584.591-04</t>
  </si>
  <si>
    <t>Quadros Elétricos CA (Corrente Alternada) - Fornecimento e Instalação</t>
  </si>
  <si>
    <t>Cabos Isolados 0,6/1 kV CA e Tubulação - Fornecimento e Instalação</t>
  </si>
  <si>
    <t>Dispositivos de Proteção CA - Fornecimento e Instalação</t>
  </si>
  <si>
    <t>Aterramento da Usina - Fornecimento e Instalação</t>
  </si>
  <si>
    <t>Implantação da Subestação de Medição de Energia em Média Tensão - Fornecimento e Instalação</t>
  </si>
  <si>
    <t>Cercamento de todo o perímetro do terreno com cerca tipo tela - Fornecimento e Instalação</t>
  </si>
  <si>
    <t>Sistema de Monitoramento por Câmeras (CFTV) - Fornecimento e Instalação</t>
  </si>
  <si>
    <t>Implantação da Subestação de Medição, Transformação e abrigo de inversores</t>
  </si>
  <si>
    <t>Lastro de brita na área da usina (7.416m²x0,10m = 741,6m³)</t>
  </si>
  <si>
    <t>Serviços Complementares</t>
  </si>
  <si>
    <t>Rua Sebastião Fontebassi, entre Rua Eva Mendes de Souza e Rua José Orlando Vigilato Ribas do Rio Pardo / MS</t>
  </si>
  <si>
    <t>DEMONSTRATIVO DO BDI - BONIFICAÇÕES E DESPESAS INDIRETAS</t>
  </si>
  <si>
    <t>Estrutura, Cabos CC e Conectores MC4</t>
  </si>
  <si>
    <t>Fornecimento e instalação COMPLETA de uma Usina Solar Fotovoltaico de 715 kWp, compreendendo os itens abaixo:</t>
  </si>
  <si>
    <t>Campo Garnde / MS, 15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</si>
</sst>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.00_);\(0.00\)"/>
    <numFmt numFmtId="166" formatCode="&quot;R$&quot;\ #,##0.00"/>
    <numFmt numFmtId="167" formatCode="0.0%"/>
    <numFmt numFmtId="168" formatCode="0.0000"/>
    <numFmt numFmtId="169" formatCode="00"/>
    <numFmt numFmtId="170" formatCode="#,##0.0&quot; kWp&quot;"/>
    <numFmt numFmtId="171" formatCode="#,##0.0&quot; kV&quot;"/>
    <numFmt numFmtId="172" formatCode="#,##0&quot; Volts&quot;"/>
    <numFmt numFmtId="173" formatCode="#,##0&quot; kW&quot;"/>
    <numFmt numFmtId="174" formatCode="#,##0&quot; kVA&quot;"/>
    <numFmt numFmtId="175" formatCode="&quot;R$  &quot;#,##0.00\ "/>
  </numFmts>
  <fonts count="3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0"/>
      <name val="Geneva"/>
    </font>
    <font>
      <sz val="10"/>
      <name val="Arial"/>
      <family val="2"/>
    </font>
    <font>
      <b/>
      <sz val="9"/>
      <name val="Calibri  "/>
    </font>
    <font>
      <sz val="9"/>
      <color indexed="8"/>
      <name val="Calibri"/>
      <family val="2"/>
    </font>
    <font>
      <vertAlign val="superscript"/>
      <sz val="9"/>
      <color indexed="8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b/>
      <sz val="8"/>
      <name val="Calibri  "/>
    </font>
    <font>
      <b/>
      <sz val="14"/>
      <name val="Arial"/>
      <family val="2"/>
    </font>
    <font>
      <sz val="12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</borders>
  <cellStyleXfs count="31">
    <xf numFmtId="0" fontId="0" fillId="0" borderId="0"/>
    <xf numFmtId="0" fontId="8" fillId="0" borderId="0"/>
    <xf numFmtId="0" fontId="1" fillId="0" borderId="0"/>
    <xf numFmtId="0" fontId="1" fillId="0" borderId="0"/>
    <xf numFmtId="0" fontId="1" fillId="0" borderId="0"/>
    <xf numFmtId="44" fontId="19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17" fontId="1" fillId="0" borderId="0"/>
    <xf numFmtId="0" fontId="1" fillId="0" borderId="0"/>
    <xf numFmtId="0" fontId="9" fillId="0" borderId="0"/>
    <xf numFmtId="17" fontId="1" fillId="0" borderId="0"/>
    <xf numFmtId="9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397">
    <xf numFmtId="0" fontId="0" fillId="0" borderId="0" xfId="0"/>
    <xf numFmtId="0" fontId="1" fillId="0" borderId="0" xfId="10"/>
    <xf numFmtId="0" fontId="1" fillId="0" borderId="0" xfId="10" applyAlignment="1">
      <alignment wrapText="1"/>
    </xf>
    <xf numFmtId="0" fontId="2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3" fillId="0" borderId="0" xfId="4" applyFont="1"/>
    <xf numFmtId="0" fontId="1" fillId="2" borderId="0" xfId="0" applyFont="1" applyFill="1" applyAlignment="1">
      <alignment wrapText="1"/>
    </xf>
    <xf numFmtId="0" fontId="1" fillId="2" borderId="0" xfId="0" applyFont="1" applyFill="1"/>
    <xf numFmtId="1" fontId="6" fillId="2" borderId="1" xfId="0" applyNumberFormat="1" applyFont="1" applyFill="1" applyBorder="1" applyAlignment="1">
      <alignment horizontal="center" vertical="center"/>
    </xf>
    <xf numFmtId="164" fontId="6" fillId="2" borderId="2" xfId="21" applyFont="1" applyFill="1" applyBorder="1" applyAlignment="1">
      <alignment horizontal="center" vertical="center"/>
    </xf>
    <xf numFmtId="0" fontId="6" fillId="2" borderId="0" xfId="0" applyFont="1" applyFill="1" applyAlignment="1">
      <alignment horizontal="justify" vertical="center" wrapText="1"/>
    </xf>
    <xf numFmtId="164" fontId="5" fillId="2" borderId="3" xfId="21" applyFont="1" applyFill="1" applyBorder="1" applyAlignment="1">
      <alignment horizontal="center" vertical="center"/>
    </xf>
    <xf numFmtId="164" fontId="5" fillId="2" borderId="4" xfId="21" applyFont="1" applyFill="1" applyBorder="1" applyAlignment="1">
      <alignment horizontal="center" vertical="center"/>
    </xf>
    <xf numFmtId="1" fontId="1" fillId="2" borderId="0" xfId="0" applyNumberFormat="1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2" fontId="1" fillId="2" borderId="0" xfId="0" applyNumberFormat="1" applyFont="1" applyFill="1" applyAlignment="1">
      <alignment horizontal="center" wrapText="1"/>
    </xf>
    <xf numFmtId="0" fontId="1" fillId="2" borderId="0" xfId="0" applyFont="1" applyFill="1" applyAlignment="1">
      <alignment horizontal="right" wrapText="1"/>
    </xf>
    <xf numFmtId="2" fontId="3" fillId="0" borderId="0" xfId="4" applyNumberFormat="1" applyFont="1"/>
    <xf numFmtId="0" fontId="3" fillId="0" borderId="0" xfId="4" applyFont="1" applyAlignment="1">
      <alignment horizontal="right"/>
    </xf>
    <xf numFmtId="0" fontId="6" fillId="2" borderId="0" xfId="10" applyFont="1" applyFill="1"/>
    <xf numFmtId="0" fontId="6" fillId="2" borderId="0" xfId="10" applyFont="1" applyFill="1" applyAlignment="1">
      <alignment wrapText="1"/>
    </xf>
    <xf numFmtId="1" fontId="22" fillId="2" borderId="0" xfId="0" applyNumberFormat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5" fillId="2" borderId="0" xfId="4" applyFont="1" applyFill="1" applyAlignment="1">
      <alignment horizontal="right"/>
    </xf>
    <xf numFmtId="0" fontId="6" fillId="2" borderId="0" xfId="0" applyFont="1" applyFill="1" applyAlignment="1">
      <alignment wrapText="1"/>
    </xf>
    <xf numFmtId="0" fontId="6" fillId="2" borderId="0" xfId="0" applyFont="1" applyFill="1"/>
    <xf numFmtId="0" fontId="1" fillId="2" borderId="0" xfId="0" applyFont="1" applyFill="1" applyAlignment="1">
      <alignment horizontal="left"/>
    </xf>
    <xf numFmtId="0" fontId="23" fillId="2" borderId="0" xfId="10" applyFont="1" applyFill="1"/>
    <xf numFmtId="0" fontId="23" fillId="2" borderId="0" xfId="10" applyFont="1" applyFill="1" applyAlignment="1">
      <alignment wrapText="1"/>
    </xf>
    <xf numFmtId="0" fontId="23" fillId="2" borderId="0" xfId="0" applyFont="1" applyFill="1" applyAlignment="1">
      <alignment wrapText="1"/>
    </xf>
    <xf numFmtId="0" fontId="24" fillId="2" borderId="0" xfId="0" applyFont="1" applyFill="1" applyAlignment="1">
      <alignment wrapText="1"/>
    </xf>
    <xf numFmtId="4" fontId="6" fillId="0" borderId="0" xfId="2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center" vertical="center" wrapText="1"/>
    </xf>
    <xf numFmtId="43" fontId="6" fillId="0" borderId="0" xfId="29" applyFont="1" applyFill="1" applyBorder="1"/>
    <xf numFmtId="0" fontId="6" fillId="0" borderId="0" xfId="10" applyFont="1"/>
    <xf numFmtId="0" fontId="6" fillId="0" borderId="0" xfId="10" applyFont="1" applyAlignment="1">
      <alignment wrapText="1"/>
    </xf>
    <xf numFmtId="0" fontId="6" fillId="0" borderId="0" xfId="0" applyFont="1" applyAlignment="1">
      <alignment wrapText="1"/>
    </xf>
    <xf numFmtId="0" fontId="5" fillId="0" borderId="0" xfId="0" applyFont="1"/>
    <xf numFmtId="43" fontId="5" fillId="0" borderId="0" xfId="29" applyFont="1" applyFill="1" applyBorder="1"/>
    <xf numFmtId="0" fontId="5" fillId="0" borderId="0" xfId="2" applyFont="1" applyAlignment="1">
      <alignment vertical="center"/>
    </xf>
    <xf numFmtId="0" fontId="6" fillId="0" borderId="0" xfId="0" applyFont="1" applyAlignment="1">
      <alignment vertical="center"/>
    </xf>
    <xf numFmtId="43" fontId="6" fillId="0" borderId="0" xfId="29" applyFont="1" applyFill="1" applyBorder="1" applyAlignment="1">
      <alignment vertical="center"/>
    </xf>
    <xf numFmtId="43" fontId="6" fillId="0" borderId="0" xfId="29" applyFont="1" applyFill="1" applyBorder="1" applyAlignment="1">
      <alignment vertical="center" wrapText="1"/>
    </xf>
    <xf numFmtId="43" fontId="1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/>
    </xf>
    <xf numFmtId="0" fontId="5" fillId="2" borderId="0" xfId="4" applyFont="1" applyFill="1" applyAlignment="1">
      <alignment horizontal="center"/>
    </xf>
    <xf numFmtId="2" fontId="5" fillId="2" borderId="0" xfId="4" applyNumberFormat="1" applyFont="1" applyFill="1" applyAlignment="1">
      <alignment horizontal="right"/>
    </xf>
    <xf numFmtId="2" fontId="1" fillId="2" borderId="0" xfId="0" applyNumberFormat="1" applyFont="1" applyFill="1" applyAlignment="1">
      <alignment horizontal="right" wrapText="1"/>
    </xf>
    <xf numFmtId="2" fontId="6" fillId="2" borderId="0" xfId="21" applyNumberFormat="1" applyFont="1" applyFill="1" applyBorder="1" applyAlignment="1">
      <alignment horizontal="right" vertical="center"/>
    </xf>
    <xf numFmtId="0" fontId="5" fillId="0" borderId="0" xfId="10" applyFont="1" applyAlignment="1">
      <alignment horizontal="left" vertical="center" wrapText="1" indent="11"/>
    </xf>
    <xf numFmtId="168" fontId="5" fillId="2" borderId="0" xfId="4" applyNumberFormat="1" applyFont="1" applyFill="1"/>
    <xf numFmtId="168" fontId="6" fillId="2" borderId="0" xfId="16" applyNumberFormat="1" applyFont="1" applyFill="1" applyBorder="1" applyAlignment="1">
      <alignment vertical="center"/>
    </xf>
    <xf numFmtId="168" fontId="1" fillId="2" borderId="0" xfId="0" applyNumberFormat="1" applyFont="1" applyFill="1" applyAlignment="1">
      <alignment wrapText="1"/>
    </xf>
    <xf numFmtId="49" fontId="5" fillId="0" borderId="0" xfId="4" applyNumberFormat="1" applyFont="1" applyAlignment="1">
      <alignment horizontal="left"/>
    </xf>
    <xf numFmtId="0" fontId="5" fillId="0" borderId="0" xfId="4" applyFont="1" applyAlignment="1">
      <alignment horizontal="left"/>
    </xf>
    <xf numFmtId="0" fontId="2" fillId="0" borderId="0" xfId="4" applyFont="1" applyAlignment="1">
      <alignment horizontal="left"/>
    </xf>
    <xf numFmtId="4" fontId="1" fillId="0" borderId="0" xfId="0" applyNumberFormat="1" applyFont="1" applyAlignment="1">
      <alignment horizontal="left"/>
    </xf>
    <xf numFmtId="164" fontId="5" fillId="0" borderId="0" xfId="21" applyFont="1" applyFill="1" applyBorder="1" applyAlignment="1">
      <alignment horizontal="left" vertical="center"/>
    </xf>
    <xf numFmtId="164" fontId="6" fillId="0" borderId="0" xfId="21" applyFont="1" applyFill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2" fillId="0" borderId="0" xfId="4" applyFont="1" applyAlignment="1">
      <alignment horizontal="center"/>
    </xf>
    <xf numFmtId="43" fontId="5" fillId="0" borderId="0" xfId="29" applyFont="1" applyFill="1" applyBorder="1" applyAlignment="1">
      <alignment vertical="center"/>
    </xf>
    <xf numFmtId="0" fontId="1" fillId="0" borderId="0" xfId="0" applyFont="1"/>
    <xf numFmtId="0" fontId="6" fillId="2" borderId="0" xfId="0" applyFont="1" applyFill="1" applyAlignment="1">
      <alignment horizontal="left" vertical="center"/>
    </xf>
    <xf numFmtId="0" fontId="5" fillId="2" borderId="0" xfId="10" applyFont="1" applyFill="1" applyAlignment="1">
      <alignment horizontal="left"/>
    </xf>
    <xf numFmtId="0" fontId="5" fillId="2" borderId="5" xfId="10" applyFont="1" applyFill="1" applyBorder="1" applyAlignment="1">
      <alignment horizontal="left"/>
    </xf>
    <xf numFmtId="0" fontId="5" fillId="2" borderId="6" xfId="10" applyFont="1" applyFill="1" applyBorder="1" applyAlignment="1">
      <alignment horizontal="center" vertical="center" wrapText="1"/>
    </xf>
    <xf numFmtId="168" fontId="5" fillId="2" borderId="6" xfId="10" applyNumberFormat="1" applyFont="1" applyFill="1" applyBorder="1" applyAlignment="1">
      <alignment vertical="center" wrapText="1"/>
    </xf>
    <xf numFmtId="2" fontId="5" fillId="2" borderId="6" xfId="10" applyNumberFormat="1" applyFont="1" applyFill="1" applyBorder="1" applyAlignment="1">
      <alignment horizontal="left" vertical="center" wrapText="1" indent="11"/>
    </xf>
    <xf numFmtId="0" fontId="5" fillId="2" borderId="5" xfId="4" applyFont="1" applyFill="1" applyBorder="1" applyAlignment="1">
      <alignment horizontal="center"/>
    </xf>
    <xf numFmtId="0" fontId="5" fillId="2" borderId="7" xfId="10" applyFont="1" applyFill="1" applyBorder="1" applyAlignment="1">
      <alignment horizontal="left" vertical="center" wrapText="1" indent="11"/>
    </xf>
    <xf numFmtId="0" fontId="6" fillId="2" borderId="5" xfId="0" applyFont="1" applyFill="1" applyBorder="1" applyAlignment="1">
      <alignment horizontal="left" vertical="center"/>
    </xf>
    <xf numFmtId="43" fontId="5" fillId="0" borderId="0" xfId="29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wrapText="1"/>
    </xf>
    <xf numFmtId="1" fontId="6" fillId="2" borderId="5" xfId="0" applyNumberFormat="1" applyFont="1" applyFill="1" applyBorder="1" applyAlignment="1">
      <alignment wrapText="1"/>
    </xf>
    <xf numFmtId="0" fontId="6" fillId="2" borderId="6" xfId="0" applyFont="1" applyFill="1" applyBorder="1" applyAlignment="1">
      <alignment horizontal="left" vertical="center"/>
    </xf>
    <xf numFmtId="1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68" fontId="6" fillId="2" borderId="9" xfId="21" applyNumberFormat="1" applyFont="1" applyFill="1" applyBorder="1" applyAlignment="1">
      <alignment horizontal="center" vertical="center"/>
    </xf>
    <xf numFmtId="2" fontId="6" fillId="2" borderId="9" xfId="21" applyNumberFormat="1" applyFont="1" applyFill="1" applyBorder="1" applyAlignment="1">
      <alignment horizontal="center" vertical="center"/>
    </xf>
    <xf numFmtId="164" fontId="6" fillId="2" borderId="10" xfId="21" applyFont="1" applyFill="1" applyBorder="1" applyAlignment="1">
      <alignment horizontal="center" vertical="center"/>
    </xf>
    <xf numFmtId="1" fontId="6" fillId="2" borderId="11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1" fontId="6" fillId="2" borderId="13" xfId="0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vertical="center" wrapText="1"/>
    </xf>
    <xf numFmtId="1" fontId="6" fillId="2" borderId="0" xfId="0" applyNumberFormat="1" applyFont="1" applyFill="1" applyAlignment="1">
      <alignment wrapText="1"/>
    </xf>
    <xf numFmtId="1" fontId="6" fillId="2" borderId="15" xfId="0" applyNumberFormat="1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justify" vertical="center"/>
    </xf>
    <xf numFmtId="0" fontId="6" fillId="2" borderId="15" xfId="0" applyFont="1" applyFill="1" applyBorder="1" applyAlignment="1">
      <alignment horizontal="center" vertical="center"/>
    </xf>
    <xf numFmtId="168" fontId="6" fillId="2" borderId="15" xfId="16" applyNumberFormat="1" applyFont="1" applyFill="1" applyBorder="1" applyAlignment="1">
      <alignment vertical="center"/>
    </xf>
    <xf numFmtId="2" fontId="6" fillId="2" borderId="15" xfId="21" applyNumberFormat="1" applyFont="1" applyFill="1" applyBorder="1" applyAlignment="1">
      <alignment horizontal="right" vertical="center"/>
    </xf>
    <xf numFmtId="164" fontId="6" fillId="2" borderId="15" xfId="21" applyFont="1" applyFill="1" applyBorder="1" applyAlignment="1">
      <alignment horizontal="center" vertical="center"/>
    </xf>
    <xf numFmtId="0" fontId="5" fillId="3" borderId="16" xfId="4" applyFont="1" applyFill="1" applyBorder="1" applyAlignment="1">
      <alignment horizontal="right" vertical="center"/>
    </xf>
    <xf numFmtId="0" fontId="2" fillId="3" borderId="16" xfId="4" applyFont="1" applyFill="1" applyBorder="1" applyAlignment="1">
      <alignment vertical="center"/>
    </xf>
    <xf numFmtId="0" fontId="2" fillId="3" borderId="17" xfId="4" applyFont="1" applyFill="1" applyBorder="1" applyAlignment="1">
      <alignment vertical="center"/>
    </xf>
    <xf numFmtId="169" fontId="5" fillId="3" borderId="18" xfId="4" applyNumberFormat="1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left" vertical="center" indent="1"/>
    </xf>
    <xf numFmtId="0" fontId="5" fillId="4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vertical="center" wrapText="1"/>
    </xf>
    <xf numFmtId="4" fontId="5" fillId="0" borderId="14" xfId="2" applyNumberFormat="1" applyFont="1" applyBorder="1"/>
    <xf numFmtId="164" fontId="5" fillId="2" borderId="20" xfId="21" applyFont="1" applyFill="1" applyBorder="1" applyAlignment="1">
      <alignment horizontal="center" vertical="center"/>
    </xf>
    <xf numFmtId="167" fontId="6" fillId="0" borderId="14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vertical="center" wrapText="1"/>
    </xf>
    <xf numFmtId="4" fontId="6" fillId="0" borderId="14" xfId="0" applyNumberFormat="1" applyFont="1" applyBorder="1" applyAlignment="1">
      <alignment horizontal="right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4" fontId="6" fillId="2" borderId="14" xfId="21" applyNumberFormat="1" applyFont="1" applyFill="1" applyBorder="1" applyAlignment="1">
      <alignment horizontal="right" vertical="center"/>
    </xf>
    <xf numFmtId="164" fontId="6" fillId="2" borderId="14" xfId="21" applyFont="1" applyFill="1" applyBorder="1" applyAlignment="1">
      <alignment horizontal="center" vertical="center"/>
    </xf>
    <xf numFmtId="3" fontId="6" fillId="2" borderId="14" xfId="16" applyNumberFormat="1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right" vertical="center"/>
    </xf>
    <xf numFmtId="10" fontId="5" fillId="4" borderId="17" xfId="0" applyNumberFormat="1" applyFont="1" applyFill="1" applyBorder="1" applyAlignment="1">
      <alignment horizontal="center" vertical="center"/>
    </xf>
    <xf numFmtId="4" fontId="5" fillId="3" borderId="16" xfId="4" applyNumberFormat="1" applyFont="1" applyFill="1" applyBorder="1" applyAlignment="1">
      <alignment horizontal="left" vertical="center" indent="1"/>
    </xf>
    <xf numFmtId="165" fontId="15" fillId="0" borderId="1" xfId="2" applyNumberFormat="1" applyFont="1" applyBorder="1" applyAlignment="1" applyProtection="1">
      <alignment horizontal="left" vertical="center"/>
      <protection locked="0"/>
    </xf>
    <xf numFmtId="0" fontId="15" fillId="0" borderId="21" xfId="7" applyFont="1" applyBorder="1" applyAlignment="1" applyProtection="1">
      <alignment horizontal="left" vertical="center"/>
      <protection locked="0"/>
    </xf>
    <xf numFmtId="0" fontId="5" fillId="3" borderId="16" xfId="4" applyFont="1" applyFill="1" applyBorder="1" applyAlignment="1">
      <alignment vertical="center"/>
    </xf>
    <xf numFmtId="0" fontId="25" fillId="2" borderId="0" xfId="10" applyFont="1" applyFill="1" applyAlignment="1">
      <alignment horizontal="left"/>
    </xf>
    <xf numFmtId="0" fontId="0" fillId="0" borderId="0" xfId="0" applyAlignment="1">
      <alignment vertical="center"/>
    </xf>
    <xf numFmtId="0" fontId="26" fillId="0" borderId="0" xfId="0" applyFont="1" applyAlignment="1">
      <alignment vertical="center"/>
    </xf>
    <xf numFmtId="165" fontId="10" fillId="0" borderId="1" xfId="2" applyNumberFormat="1" applyFont="1" applyBorder="1" applyAlignment="1">
      <alignment horizontal="left" vertical="center" indent="10"/>
    </xf>
    <xf numFmtId="165" fontId="15" fillId="0" borderId="1" xfId="2" applyNumberFormat="1" applyFont="1" applyBorder="1" applyAlignment="1">
      <alignment horizontal="left" vertical="center"/>
    </xf>
    <xf numFmtId="0" fontId="27" fillId="2" borderId="0" xfId="10" applyFont="1" applyFill="1" applyAlignment="1">
      <alignment horizontal="left"/>
    </xf>
    <xf numFmtId="0" fontId="28" fillId="2" borderId="0" xfId="10" applyFont="1" applyFill="1" applyAlignment="1">
      <alignment horizontal="left"/>
    </xf>
    <xf numFmtId="49" fontId="14" fillId="0" borderId="2" xfId="4" applyNumberFormat="1" applyFont="1" applyBorder="1" applyAlignment="1">
      <alignment horizontal="right" indent="1"/>
    </xf>
    <xf numFmtId="0" fontId="15" fillId="0" borderId="21" xfId="7" applyFont="1" applyBorder="1" applyAlignment="1">
      <alignment horizontal="left" vertical="center"/>
    </xf>
    <xf numFmtId="0" fontId="27" fillId="2" borderId="5" xfId="10" applyFont="1" applyFill="1" applyBorder="1" applyAlignment="1">
      <alignment horizontal="left"/>
    </xf>
    <xf numFmtId="0" fontId="28" fillId="2" borderId="5" xfId="10" applyFont="1" applyFill="1" applyBorder="1" applyAlignment="1">
      <alignment horizontal="left"/>
    </xf>
    <xf numFmtId="0" fontId="28" fillId="0" borderId="22" xfId="10" applyFont="1" applyBorder="1" applyAlignment="1">
      <alignment horizontal="right"/>
    </xf>
    <xf numFmtId="0" fontId="0" fillId="0" borderId="19" xfId="0" applyBorder="1" applyAlignment="1">
      <alignment vertical="center"/>
    </xf>
    <xf numFmtId="0" fontId="26" fillId="0" borderId="2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169" fontId="26" fillId="0" borderId="14" xfId="0" applyNumberFormat="1" applyFont="1" applyBorder="1" applyAlignment="1">
      <alignment horizontal="center" vertical="center"/>
    </xf>
    <xf numFmtId="0" fontId="26" fillId="0" borderId="14" xfId="0" applyFont="1" applyBorder="1" applyAlignment="1">
      <alignment vertical="center"/>
    </xf>
    <xf numFmtId="10" fontId="26" fillId="0" borderId="14" xfId="0" applyNumberFormat="1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0" fontId="0" fillId="0" borderId="25" xfId="0" applyNumberFormat="1" applyBorder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0" fontId="0" fillId="0" borderId="25" xfId="0" applyNumberFormat="1" applyBorder="1" applyAlignment="1">
      <alignment vertical="center"/>
    </xf>
    <xf numFmtId="10" fontId="0" fillId="0" borderId="25" xfId="0" applyNumberFormat="1" applyBorder="1" applyAlignment="1">
      <alignment horizontal="left" vertical="center"/>
    </xf>
    <xf numFmtId="10" fontId="0" fillId="0" borderId="0" xfId="0" applyNumberFormat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10" fontId="0" fillId="0" borderId="28" xfId="0" applyNumberFormat="1" applyBorder="1" applyAlignment="1">
      <alignment vertical="center"/>
    </xf>
    <xf numFmtId="0" fontId="0" fillId="0" borderId="29" xfId="0" applyBorder="1" applyAlignment="1">
      <alignment vertical="center"/>
    </xf>
    <xf numFmtId="10" fontId="0" fillId="0" borderId="30" xfId="0" applyNumberFormat="1" applyBorder="1" applyAlignment="1">
      <alignment vertical="center"/>
    </xf>
    <xf numFmtId="0" fontId="0" fillId="0" borderId="31" xfId="0" applyBorder="1" applyAlignment="1">
      <alignment vertical="center"/>
    </xf>
    <xf numFmtId="10" fontId="0" fillId="0" borderId="32" xfId="0" applyNumberFormat="1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20" fillId="0" borderId="0" xfId="0" applyFont="1" applyAlignment="1">
      <alignment vertical="center"/>
    </xf>
    <xf numFmtId="10" fontId="26" fillId="0" borderId="14" xfId="0" applyNumberFormat="1" applyFont="1" applyBorder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4" fontId="1" fillId="0" borderId="14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2" fontId="1" fillId="0" borderId="0" xfId="0" applyNumberFormat="1" applyFont="1" applyAlignment="1">
      <alignment wrapText="1"/>
    </xf>
    <xf numFmtId="0" fontId="1" fillId="0" borderId="0" xfId="0" applyFont="1" applyAlignment="1">
      <alignment horizontal="right" wrapText="1"/>
    </xf>
    <xf numFmtId="0" fontId="3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2" fontId="1" fillId="0" borderId="0" xfId="0" applyNumberFormat="1" applyFont="1"/>
    <xf numFmtId="0" fontId="3" fillId="3" borderId="18" xfId="0" applyFont="1" applyFill="1" applyBorder="1" applyAlignment="1">
      <alignment horizontal="center" vertical="center" wrapText="1"/>
    </xf>
    <xf numFmtId="2" fontId="3" fillId="3" borderId="33" xfId="0" applyNumberFormat="1" applyFont="1" applyFill="1" applyBorder="1" applyAlignment="1">
      <alignment horizontal="center" vertical="center" wrapText="1"/>
    </xf>
    <xf numFmtId="4" fontId="3" fillId="3" borderId="34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Border="1" applyAlignment="1">
      <alignment horizontal="center" wrapText="1"/>
    </xf>
    <xf numFmtId="4" fontId="1" fillId="0" borderId="0" xfId="0" applyNumberFormat="1" applyFont="1" applyAlignment="1">
      <alignment wrapText="1"/>
    </xf>
    <xf numFmtId="10" fontId="1" fillId="0" borderId="35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justify" vertical="center"/>
    </xf>
    <xf numFmtId="4" fontId="1" fillId="0" borderId="36" xfId="0" applyNumberFormat="1" applyFont="1" applyBorder="1" applyAlignment="1">
      <alignment vertical="center" wrapText="1"/>
    </xf>
    <xf numFmtId="4" fontId="4" fillId="0" borderId="4" xfId="0" applyNumberFormat="1" applyFont="1" applyBorder="1" applyAlignment="1">
      <alignment horizontal="right" vertical="center"/>
    </xf>
    <xf numFmtId="10" fontId="4" fillId="0" borderId="4" xfId="0" applyNumberFormat="1" applyFont="1" applyBorder="1" applyAlignment="1">
      <alignment horizontal="center" vertical="center"/>
    </xf>
    <xf numFmtId="165" fontId="14" fillId="0" borderId="1" xfId="2" applyNumberFormat="1" applyFont="1" applyBorder="1" applyAlignment="1">
      <alignment horizontal="left" vertical="center" indent="1"/>
    </xf>
    <xf numFmtId="0" fontId="3" fillId="2" borderId="0" xfId="10" applyFont="1" applyFill="1" applyAlignment="1">
      <alignment horizontal="left"/>
    </xf>
    <xf numFmtId="0" fontId="14" fillId="0" borderId="21" xfId="7" applyFont="1" applyBorder="1" applyAlignment="1">
      <alignment horizontal="left" vertical="center" indent="1"/>
    </xf>
    <xf numFmtId="0" fontId="3" fillId="2" borderId="5" xfId="10" applyFont="1" applyFill="1" applyBorder="1" applyAlignment="1">
      <alignment horizontal="left"/>
    </xf>
    <xf numFmtId="0" fontId="1" fillId="0" borderId="37" xfId="0" applyFont="1" applyBorder="1" applyAlignment="1">
      <alignment horizontal="center"/>
    </xf>
    <xf numFmtId="0" fontId="1" fillId="0" borderId="0" xfId="0" applyFont="1" applyAlignment="1">
      <alignment horizontal="justify"/>
    </xf>
    <xf numFmtId="0" fontId="3" fillId="0" borderId="14" xfId="10" applyFont="1" applyBorder="1" applyAlignment="1">
      <alignment horizontal="left" vertical="center" wrapText="1"/>
    </xf>
    <xf numFmtId="4" fontId="3" fillId="0" borderId="14" xfId="0" applyNumberFormat="1" applyFont="1" applyBorder="1" applyAlignment="1">
      <alignment horizontal="right" vertical="center"/>
    </xf>
    <xf numFmtId="10" fontId="3" fillId="0" borderId="3" xfId="0" applyNumberFormat="1" applyFont="1" applyBorder="1" applyAlignment="1">
      <alignment horizontal="center" vertical="center"/>
    </xf>
    <xf numFmtId="0" fontId="3" fillId="0" borderId="24" xfId="10" applyFont="1" applyBorder="1" applyAlignment="1">
      <alignment horizontal="left" vertical="center" wrapText="1"/>
    </xf>
    <xf numFmtId="4" fontId="3" fillId="0" borderId="14" xfId="0" applyNumberFormat="1" applyFont="1" applyBorder="1" applyAlignment="1">
      <alignment vertical="center"/>
    </xf>
    <xf numFmtId="2" fontId="1" fillId="0" borderId="0" xfId="0" applyNumberFormat="1" applyFont="1" applyAlignment="1">
      <alignment vertical="center" wrapText="1"/>
    </xf>
    <xf numFmtId="0" fontId="3" fillId="3" borderId="38" xfId="0" applyFont="1" applyFill="1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/>
    </xf>
    <xf numFmtId="0" fontId="5" fillId="2" borderId="1" xfId="10" applyFont="1" applyFill="1" applyBorder="1" applyAlignment="1">
      <alignment horizontal="left" vertical="center" wrapText="1" indent="23"/>
    </xf>
    <xf numFmtId="0" fontId="5" fillId="2" borderId="0" xfId="10" applyFont="1" applyFill="1" applyAlignment="1">
      <alignment horizontal="left" vertical="center" wrapText="1" indent="23"/>
    </xf>
    <xf numFmtId="2" fontId="16" fillId="2" borderId="0" xfId="10" applyNumberFormat="1" applyFont="1" applyFill="1" applyAlignment="1">
      <alignment horizontal="right" vertical="top" wrapText="1" indent="1"/>
    </xf>
    <xf numFmtId="2" fontId="16" fillId="2" borderId="2" xfId="10" applyNumberFormat="1" applyFont="1" applyFill="1" applyBorder="1" applyAlignment="1">
      <alignment horizontal="right" vertical="top" wrapText="1" indent="1"/>
    </xf>
    <xf numFmtId="14" fontId="3" fillId="2" borderId="2" xfId="10" applyNumberFormat="1" applyFont="1" applyFill="1" applyBorder="1" applyAlignment="1">
      <alignment horizontal="left" vertical="top" wrapText="1" indent="1"/>
    </xf>
    <xf numFmtId="170" fontId="3" fillId="2" borderId="2" xfId="10" applyNumberFormat="1" applyFont="1" applyFill="1" applyBorder="1" applyAlignment="1">
      <alignment horizontal="left" vertical="top" wrapText="1" indent="1"/>
    </xf>
    <xf numFmtId="173" fontId="3" fillId="2" borderId="2" xfId="10" applyNumberFormat="1" applyFont="1" applyFill="1" applyBorder="1" applyAlignment="1">
      <alignment horizontal="left" vertical="top" wrapText="1" indent="1"/>
    </xf>
    <xf numFmtId="172" fontId="3" fillId="2" borderId="2" xfId="10" applyNumberFormat="1" applyFont="1" applyFill="1" applyBorder="1" applyAlignment="1">
      <alignment horizontal="left" vertical="top" wrapText="1" indent="1"/>
    </xf>
    <xf numFmtId="174" fontId="3" fillId="2" borderId="2" xfId="10" applyNumberFormat="1" applyFont="1" applyFill="1" applyBorder="1" applyAlignment="1">
      <alignment horizontal="left" vertical="center" wrapText="1" indent="1"/>
    </xf>
    <xf numFmtId="2" fontId="16" fillId="2" borderId="6" xfId="10" applyNumberFormat="1" applyFont="1" applyFill="1" applyBorder="1" applyAlignment="1">
      <alignment horizontal="right" vertical="top" wrapText="1" indent="1"/>
    </xf>
    <xf numFmtId="2" fontId="16" fillId="2" borderId="7" xfId="10" applyNumberFormat="1" applyFont="1" applyFill="1" applyBorder="1" applyAlignment="1">
      <alignment horizontal="right" vertical="top" wrapText="1" indent="1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vertical="center"/>
    </xf>
    <xf numFmtId="0" fontId="29" fillId="0" borderId="27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174" fontId="14" fillId="2" borderId="0" xfId="10" applyNumberFormat="1" applyFont="1" applyFill="1" applyAlignment="1">
      <alignment horizontal="left" vertical="center" wrapText="1" indent="1"/>
    </xf>
    <xf numFmtId="0" fontId="5" fillId="2" borderId="0" xfId="10" applyFont="1" applyFill="1" applyAlignment="1">
      <alignment horizontal="left" vertical="center" wrapText="1" indent="24"/>
    </xf>
    <xf numFmtId="49" fontId="1" fillId="0" borderId="0" xfId="10" applyNumberFormat="1"/>
    <xf numFmtId="0" fontId="1" fillId="0" borderId="0" xfId="10" applyAlignment="1">
      <alignment vertical="center"/>
    </xf>
    <xf numFmtId="4" fontId="1" fillId="0" borderId="0" xfId="10" applyNumberFormat="1" applyAlignment="1">
      <alignment vertical="center"/>
    </xf>
    <xf numFmtId="10" fontId="1" fillId="0" borderId="0" xfId="10" applyNumberFormat="1" applyAlignment="1">
      <alignment vertical="center"/>
    </xf>
    <xf numFmtId="2" fontId="16" fillId="2" borderId="2" xfId="10" applyNumberFormat="1" applyFont="1" applyFill="1" applyBorder="1" applyAlignment="1">
      <alignment horizontal="center" vertical="center" wrapText="1"/>
    </xf>
    <xf numFmtId="2" fontId="16" fillId="2" borderId="0" xfId="10" applyNumberFormat="1" applyFont="1" applyFill="1" applyAlignment="1">
      <alignment horizontal="center" vertical="center" wrapText="1"/>
    </xf>
    <xf numFmtId="169" fontId="3" fillId="0" borderId="13" xfId="10" quotePrefix="1" applyNumberFormat="1" applyFont="1" applyBorder="1" applyAlignment="1">
      <alignment horizontal="center" vertical="center" wrapText="1"/>
    </xf>
    <xf numFmtId="169" fontId="1" fillId="0" borderId="13" xfId="10" quotePrefix="1" applyNumberFormat="1" applyBorder="1" applyAlignment="1">
      <alignment horizontal="center" vertical="center" wrapText="1"/>
    </xf>
    <xf numFmtId="0" fontId="1" fillId="0" borderId="24" xfId="10" applyBorder="1" applyAlignment="1">
      <alignment horizontal="left" vertical="center" wrapText="1"/>
    </xf>
    <xf numFmtId="4" fontId="1" fillId="0" borderId="14" xfId="0" applyNumberFormat="1" applyFont="1" applyBorder="1" applyAlignment="1">
      <alignment vertical="center"/>
    </xf>
    <xf numFmtId="4" fontId="1" fillId="0" borderId="0" xfId="10" applyNumberFormat="1"/>
    <xf numFmtId="0" fontId="30" fillId="0" borderId="27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" fillId="3" borderId="19" xfId="10" applyFont="1" applyFill="1" applyBorder="1" applyAlignment="1">
      <alignment horizontal="left" vertical="center" indent="1"/>
    </xf>
    <xf numFmtId="0" fontId="2" fillId="3" borderId="36" xfId="10" applyFont="1" applyFill="1" applyBorder="1" applyAlignment="1">
      <alignment vertical="center" wrapText="1"/>
    </xf>
    <xf numFmtId="170" fontId="2" fillId="3" borderId="36" xfId="10" applyNumberFormat="1" applyFont="1" applyFill="1" applyBorder="1" applyAlignment="1">
      <alignment horizontal="right" vertical="center"/>
    </xf>
    <xf numFmtId="0" fontId="17" fillId="0" borderId="0" xfId="10" applyFont="1"/>
    <xf numFmtId="169" fontId="2" fillId="3" borderId="19" xfId="10" applyNumberFormat="1" applyFont="1" applyFill="1" applyBorder="1" applyAlignment="1">
      <alignment horizontal="center" vertical="center"/>
    </xf>
    <xf numFmtId="0" fontId="2" fillId="3" borderId="19" xfId="10" applyFont="1" applyFill="1" applyBorder="1" applyAlignment="1">
      <alignment horizontal="left" vertical="center" wrapText="1" indent="1"/>
    </xf>
    <xf numFmtId="4" fontId="2" fillId="3" borderId="14" xfId="10" applyNumberFormat="1" applyFont="1" applyFill="1" applyBorder="1" applyAlignment="1">
      <alignment horizontal="right" vertical="center" wrapText="1" indent="1"/>
    </xf>
    <xf numFmtId="10" fontId="2" fillId="3" borderId="14" xfId="10" applyNumberFormat="1" applyFont="1" applyFill="1" applyBorder="1" applyAlignment="1">
      <alignment horizontal="left" vertical="center" wrapText="1" indent="1"/>
    </xf>
    <xf numFmtId="0" fontId="2" fillId="3" borderId="36" xfId="10" applyFont="1" applyFill="1" applyBorder="1" applyAlignment="1">
      <alignment horizontal="left" vertical="center" wrapText="1" indent="1"/>
    </xf>
    <xf numFmtId="170" fontId="2" fillId="3" borderId="36" xfId="10" applyNumberFormat="1" applyFont="1" applyFill="1" applyBorder="1" applyAlignment="1">
      <alignment horizontal="right" vertical="center" indent="1"/>
    </xf>
    <xf numFmtId="10" fontId="2" fillId="3" borderId="14" xfId="10" applyNumberFormat="1" applyFont="1" applyFill="1" applyBorder="1" applyAlignment="1">
      <alignment horizontal="center" vertical="center" wrapText="1"/>
    </xf>
    <xf numFmtId="175" fontId="2" fillId="3" borderId="40" xfId="10" applyNumberFormat="1" applyFont="1" applyFill="1" applyBorder="1" applyAlignment="1">
      <alignment horizontal="right" vertical="center" wrapText="1" indent="1"/>
    </xf>
    <xf numFmtId="0" fontId="2" fillId="0" borderId="23" xfId="10" quotePrefix="1" applyFont="1" applyBorder="1" applyAlignment="1">
      <alignment horizontal="center" vertical="center" wrapText="1"/>
    </xf>
    <xf numFmtId="0" fontId="2" fillId="0" borderId="23" xfId="10" applyFont="1" applyBorder="1" applyAlignment="1">
      <alignment horizontal="left" vertical="center" wrapText="1" indent="1"/>
    </xf>
    <xf numFmtId="4" fontId="2" fillId="0" borderId="23" xfId="10" applyNumberFormat="1" applyFont="1" applyBorder="1" applyAlignment="1">
      <alignment horizontal="right" vertical="center" wrapText="1"/>
    </xf>
    <xf numFmtId="10" fontId="17" fillId="0" borderId="23" xfId="10" applyNumberFormat="1" applyFont="1" applyBorder="1" applyAlignment="1">
      <alignment horizontal="center" vertical="center"/>
    </xf>
    <xf numFmtId="166" fontId="17" fillId="0" borderId="14" xfId="10" applyNumberFormat="1" applyFont="1" applyBorder="1" applyAlignment="1">
      <alignment vertical="center"/>
    </xf>
    <xf numFmtId="0" fontId="2" fillId="0" borderId="24" xfId="10" applyFont="1" applyBorder="1" applyAlignment="1">
      <alignment horizontal="center" vertical="center" wrapText="1"/>
    </xf>
    <xf numFmtId="0" fontId="17" fillId="0" borderId="24" xfId="10" applyFont="1" applyBorder="1" applyAlignment="1">
      <alignment horizontal="left" vertical="center" wrapText="1" indent="1"/>
    </xf>
    <xf numFmtId="0" fontId="17" fillId="0" borderId="24" xfId="10" applyFont="1" applyBorder="1" applyAlignment="1">
      <alignment horizontal="left" vertical="center" wrapText="1"/>
    </xf>
    <xf numFmtId="10" fontId="17" fillId="0" borderId="24" xfId="10" applyNumberFormat="1" applyFont="1" applyBorder="1" applyAlignment="1">
      <alignment vertical="center"/>
    </xf>
    <xf numFmtId="10" fontId="17" fillId="0" borderId="14" xfId="10" applyNumberFormat="1" applyFont="1" applyBorder="1" applyAlignment="1">
      <alignment vertical="center"/>
    </xf>
    <xf numFmtId="0" fontId="2" fillId="0" borderId="24" xfId="10" applyFont="1" applyBorder="1" applyAlignment="1">
      <alignment horizontal="left" vertical="top" wrapText="1"/>
    </xf>
    <xf numFmtId="0" fontId="2" fillId="0" borderId="25" xfId="10" applyFont="1" applyBorder="1" applyAlignment="1">
      <alignment horizontal="center" vertical="center" wrapText="1"/>
    </xf>
    <xf numFmtId="0" fontId="17" fillId="0" borderId="25" xfId="10" applyFont="1" applyBorder="1" applyAlignment="1">
      <alignment horizontal="left" vertical="center" wrapText="1"/>
    </xf>
    <xf numFmtId="10" fontId="17" fillId="0" borderId="25" xfId="10" applyNumberFormat="1" applyFont="1" applyBorder="1" applyAlignment="1">
      <alignment vertical="center"/>
    </xf>
    <xf numFmtId="10" fontId="17" fillId="0" borderId="25" xfId="10" applyNumberFormat="1" applyFont="1" applyBorder="1" applyAlignment="1">
      <alignment horizontal="right" vertical="center"/>
    </xf>
    <xf numFmtId="10" fontId="17" fillId="2" borderId="25" xfId="10" applyNumberFormat="1" applyFont="1" applyFill="1" applyBorder="1" applyAlignment="1">
      <alignment horizontal="right" vertical="center"/>
    </xf>
    <xf numFmtId="0" fontId="2" fillId="0" borderId="0" xfId="10" applyFont="1" applyAlignment="1">
      <alignment horizontal="center" vertical="center" wrapText="1"/>
    </xf>
    <xf numFmtId="0" fontId="17" fillId="0" borderId="0" xfId="10" applyFont="1" applyAlignment="1">
      <alignment horizontal="left" vertical="center" wrapText="1"/>
    </xf>
    <xf numFmtId="10" fontId="17" fillId="0" borderId="0" xfId="10" applyNumberFormat="1" applyFont="1" applyAlignment="1">
      <alignment vertical="center"/>
    </xf>
    <xf numFmtId="166" fontId="17" fillId="2" borderId="14" xfId="10" applyNumberFormat="1" applyFont="1" applyFill="1" applyBorder="1" applyAlignment="1">
      <alignment vertical="center"/>
    </xf>
    <xf numFmtId="10" fontId="17" fillId="2" borderId="14" xfId="10" applyNumberFormat="1" applyFont="1" applyFill="1" applyBorder="1" applyAlignment="1">
      <alignment vertical="center"/>
    </xf>
    <xf numFmtId="10" fontId="17" fillId="0" borderId="0" xfId="10" applyNumberFormat="1" applyFont="1" applyAlignment="1">
      <alignment horizontal="right" vertical="center"/>
    </xf>
    <xf numFmtId="10" fontId="17" fillId="2" borderId="0" xfId="10" applyNumberFormat="1" applyFont="1" applyFill="1" applyAlignment="1">
      <alignment horizontal="right" vertical="center"/>
    </xf>
    <xf numFmtId="0" fontId="2" fillId="0" borderId="19" xfId="8" applyFont="1" applyBorder="1" applyAlignment="1">
      <alignment horizontal="right" vertical="center"/>
    </xf>
    <xf numFmtId="0" fontId="2" fillId="0" borderId="36" xfId="8" applyFont="1" applyBorder="1" applyAlignment="1">
      <alignment horizontal="right" vertical="center" indent="1"/>
    </xf>
    <xf numFmtId="166" fontId="2" fillId="0" borderId="36" xfId="8" applyNumberFormat="1" applyFont="1" applyBorder="1" applyAlignment="1">
      <alignment horizontal="right" vertical="center" wrapText="1"/>
    </xf>
    <xf numFmtId="167" fontId="2" fillId="0" borderId="40" xfId="10" applyNumberFormat="1" applyFont="1" applyBorder="1" applyAlignment="1">
      <alignment horizontal="center" vertical="center"/>
    </xf>
    <xf numFmtId="166" fontId="2" fillId="0" borderId="14" xfId="8" applyNumberFormat="1" applyFont="1" applyBorder="1" applyAlignment="1">
      <alignment vertical="center"/>
    </xf>
    <xf numFmtId="0" fontId="2" fillId="0" borderId="19" xfId="8" applyFont="1" applyBorder="1" applyAlignment="1">
      <alignment horizontal="right" vertical="center" wrapText="1"/>
    </xf>
    <xf numFmtId="0" fontId="2" fillId="0" borderId="36" xfId="8" applyFont="1" applyBorder="1" applyAlignment="1">
      <alignment horizontal="right" vertical="center" wrapText="1" indent="1"/>
    </xf>
    <xf numFmtId="0" fontId="2" fillId="0" borderId="40" xfId="8" applyFont="1" applyBorder="1" applyAlignment="1">
      <alignment horizontal="right" vertical="center" wrapText="1"/>
    </xf>
    <xf numFmtId="0" fontId="2" fillId="0" borderId="36" xfId="7" applyFont="1" applyBorder="1" applyAlignment="1">
      <alignment horizontal="right" vertical="center" wrapText="1"/>
    </xf>
    <xf numFmtId="0" fontId="2" fillId="0" borderId="40" xfId="7" applyFont="1" applyBorder="1" applyAlignment="1">
      <alignment horizontal="right" vertical="center" wrapText="1"/>
    </xf>
    <xf numFmtId="10" fontId="2" fillId="0" borderId="23" xfId="13" applyNumberFormat="1" applyFont="1" applyFill="1" applyBorder="1" applyAlignment="1">
      <alignment horizontal="center" vertical="center"/>
    </xf>
    <xf numFmtId="0" fontId="2" fillId="0" borderId="31" xfId="8" applyFont="1" applyBorder="1" applyAlignment="1">
      <alignment horizontal="right" vertical="center" wrapText="1"/>
    </xf>
    <xf numFmtId="0" fontId="2" fillId="0" borderId="25" xfId="8" applyFont="1" applyBorder="1" applyAlignment="1">
      <alignment horizontal="right" vertical="center" wrapText="1" indent="1"/>
    </xf>
    <xf numFmtId="0" fontId="2" fillId="0" borderId="25" xfId="7" applyFont="1" applyBorder="1" applyAlignment="1">
      <alignment horizontal="right" vertical="center" wrapText="1"/>
    </xf>
    <xf numFmtId="0" fontId="2" fillId="0" borderId="32" xfId="7" applyFont="1" applyBorder="1" applyAlignment="1">
      <alignment horizontal="right" vertical="center" wrapText="1"/>
    </xf>
    <xf numFmtId="10" fontId="2" fillId="0" borderId="14" xfId="8" applyNumberFormat="1" applyFont="1" applyBorder="1" applyAlignment="1">
      <alignment horizontal="center" vertical="center"/>
    </xf>
    <xf numFmtId="14" fontId="2" fillId="2" borderId="0" xfId="10" applyNumberFormat="1" applyFont="1" applyFill="1" applyAlignment="1">
      <alignment horizontal="left" vertical="center" wrapText="1" indent="1"/>
    </xf>
    <xf numFmtId="170" fontId="2" fillId="2" borderId="0" xfId="10" applyNumberFormat="1" applyFont="1" applyFill="1" applyAlignment="1">
      <alignment horizontal="left" vertical="center" wrapText="1" indent="1"/>
    </xf>
    <xf numFmtId="173" fontId="2" fillId="2" borderId="0" xfId="10" applyNumberFormat="1" applyFont="1" applyFill="1" applyAlignment="1">
      <alignment horizontal="left" vertical="center" wrapText="1" indent="1"/>
    </xf>
    <xf numFmtId="172" fontId="2" fillId="2" borderId="0" xfId="10" applyNumberFormat="1" applyFont="1" applyFill="1" applyAlignment="1">
      <alignment horizontal="left" vertical="center" wrapText="1" indent="1"/>
    </xf>
    <xf numFmtId="174" fontId="2" fillId="2" borderId="0" xfId="10" applyNumberFormat="1" applyFont="1" applyFill="1" applyAlignment="1">
      <alignment horizontal="left" vertical="center" wrapText="1" indent="1"/>
    </xf>
    <xf numFmtId="0" fontId="2" fillId="2" borderId="0" xfId="10" applyFont="1" applyFill="1" applyAlignment="1">
      <alignment horizontal="left"/>
    </xf>
    <xf numFmtId="0" fontId="2" fillId="3" borderId="25" xfId="10" applyFont="1" applyFill="1" applyBorder="1" applyAlignment="1">
      <alignment horizontal="center" vertical="center"/>
    </xf>
    <xf numFmtId="0" fontId="2" fillId="3" borderId="41" xfId="10" applyFont="1" applyFill="1" applyBorder="1" applyAlignment="1">
      <alignment horizontal="center" vertical="center" wrapText="1"/>
    </xf>
    <xf numFmtId="0" fontId="2" fillId="3" borderId="32" xfId="10" applyFont="1" applyFill="1" applyBorder="1" applyAlignment="1">
      <alignment horizontal="center" vertical="center" wrapText="1"/>
    </xf>
    <xf numFmtId="0" fontId="2" fillId="3" borderId="42" xfId="10" applyFont="1" applyFill="1" applyBorder="1" applyAlignment="1">
      <alignment horizontal="center" vertical="center" wrapText="1"/>
    </xf>
    <xf numFmtId="0" fontId="2" fillId="0" borderId="24" xfId="10" applyFont="1" applyBorder="1" applyAlignment="1">
      <alignment horizontal="left" vertical="top" wrapText="1" indent="1"/>
    </xf>
    <xf numFmtId="0" fontId="3" fillId="0" borderId="5" xfId="10" applyFont="1" applyBorder="1" applyAlignment="1">
      <alignment wrapText="1"/>
    </xf>
    <xf numFmtId="0" fontId="3" fillId="0" borderId="22" xfId="10" applyFont="1" applyBorder="1" applyAlignment="1">
      <alignment wrapText="1"/>
    </xf>
    <xf numFmtId="0" fontId="0" fillId="0" borderId="0" xfId="0" applyAlignment="1">
      <alignment horizontal="left" vertical="center" indent="34"/>
    </xf>
    <xf numFmtId="0" fontId="0" fillId="0" borderId="0" xfId="0" applyAlignment="1">
      <alignment horizontal="left" vertical="center" indent="33"/>
    </xf>
    <xf numFmtId="0" fontId="0" fillId="0" borderId="25" xfId="0" applyBorder="1" applyAlignment="1">
      <alignment horizontal="left" vertical="center" indent="33"/>
    </xf>
    <xf numFmtId="0" fontId="20" fillId="0" borderId="27" xfId="0" applyFont="1" applyBorder="1" applyAlignment="1">
      <alignment horizontal="left" vertical="center" indent="33"/>
    </xf>
    <xf numFmtId="0" fontId="0" fillId="0" borderId="27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2" fontId="2" fillId="0" borderId="0" xfId="10" applyNumberFormat="1" applyFont="1" applyAlignment="1">
      <alignment horizontal="right"/>
    </xf>
    <xf numFmtId="0" fontId="2" fillId="0" borderId="24" xfId="10" applyFont="1" applyBorder="1" applyAlignment="1">
      <alignment horizontal="left" vertical="center" wrapText="1" indent="1"/>
    </xf>
    <xf numFmtId="0" fontId="5" fillId="2" borderId="27" xfId="10" applyFont="1" applyFill="1" applyBorder="1" applyAlignment="1">
      <alignment horizontal="left" vertical="center" wrapText="1" indent="24"/>
    </xf>
    <xf numFmtId="0" fontId="1" fillId="0" borderId="27" xfId="10" applyBorder="1"/>
    <xf numFmtId="0" fontId="5" fillId="2" borderId="29" xfId="10" applyFont="1" applyFill="1" applyBorder="1" applyAlignment="1">
      <alignment horizontal="left" vertical="center" wrapText="1" indent="24"/>
    </xf>
    <xf numFmtId="0" fontId="1" fillId="0" borderId="30" xfId="10" applyBorder="1"/>
    <xf numFmtId="165" fontId="15" fillId="0" borderId="29" xfId="2" applyNumberFormat="1" applyFont="1" applyBorder="1" applyAlignment="1" applyProtection="1">
      <alignment horizontal="left" vertical="center"/>
      <protection locked="0"/>
    </xf>
    <xf numFmtId="49" fontId="3" fillId="0" borderId="30" xfId="10" applyNumberFormat="1" applyFont="1" applyBorder="1" applyAlignment="1">
      <alignment horizontal="right" wrapText="1" indent="1"/>
    </xf>
    <xf numFmtId="165" fontId="3" fillId="0" borderId="29" xfId="2" applyNumberFormat="1" applyFont="1" applyBorder="1" applyAlignment="1" applyProtection="1">
      <alignment horizontal="left" vertical="center"/>
      <protection locked="0"/>
    </xf>
    <xf numFmtId="0" fontId="3" fillId="0" borderId="31" xfId="7" applyFont="1" applyBorder="1" applyAlignment="1" applyProtection="1">
      <alignment horizontal="left" vertical="center"/>
      <protection locked="0"/>
    </xf>
    <xf numFmtId="0" fontId="1" fillId="0" borderId="25" xfId="10" applyBorder="1"/>
    <xf numFmtId="0" fontId="3" fillId="0" borderId="25" xfId="10" applyFont="1" applyBorder="1" applyAlignment="1">
      <alignment horizontal="right" indent="1"/>
    </xf>
    <xf numFmtId="0" fontId="3" fillId="0" borderId="32" xfId="10" applyFont="1" applyBorder="1" applyAlignment="1">
      <alignment horizontal="right" indent="1"/>
    </xf>
    <xf numFmtId="171" fontId="2" fillId="2" borderId="0" xfId="10" applyNumberFormat="1" applyFont="1" applyFill="1" applyAlignment="1">
      <alignment horizontal="left" vertical="center" wrapText="1" indent="1"/>
    </xf>
    <xf numFmtId="0" fontId="2" fillId="0" borderId="0" xfId="10" applyFont="1" applyAlignment="1">
      <alignment horizontal="left" vertical="top" wrapText="1" indent="1"/>
    </xf>
    <xf numFmtId="10" fontId="17" fillId="2" borderId="0" xfId="10" applyNumberFormat="1" applyFont="1" applyFill="1" applyAlignment="1">
      <alignment vertical="center"/>
    </xf>
    <xf numFmtId="14" fontId="29" fillId="0" borderId="0" xfId="0" applyNumberFormat="1" applyFont="1" applyAlignment="1">
      <alignment horizontal="center"/>
    </xf>
    <xf numFmtId="10" fontId="26" fillId="0" borderId="0" xfId="0" applyNumberFormat="1" applyFont="1" applyAlignment="1">
      <alignment horizontal="center" vertical="center"/>
    </xf>
    <xf numFmtId="0" fontId="1" fillId="0" borderId="24" xfId="10" applyBorder="1" applyAlignment="1">
      <alignment horizontal="left" vertical="center" wrapText="1" indent="1"/>
    </xf>
    <xf numFmtId="0" fontId="1" fillId="0" borderId="24" xfId="10" quotePrefix="1" applyBorder="1" applyAlignment="1">
      <alignment horizontal="left" vertical="center" wrapText="1" indent="1"/>
    </xf>
    <xf numFmtId="0" fontId="4" fillId="3" borderId="18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left" vertical="center" indent="9"/>
    </xf>
    <xf numFmtId="0" fontId="4" fillId="0" borderId="16" xfId="0" applyFont="1" applyBorder="1" applyAlignment="1">
      <alignment horizontal="left" vertical="center" indent="9"/>
    </xf>
    <xf numFmtId="0" fontId="2" fillId="3" borderId="12" xfId="4" applyFont="1" applyFill="1" applyBorder="1" applyAlignment="1">
      <alignment horizontal="center"/>
    </xf>
    <xf numFmtId="0" fontId="2" fillId="3" borderId="16" xfId="4" applyFont="1" applyFill="1" applyBorder="1" applyAlignment="1">
      <alignment horizontal="center"/>
    </xf>
    <xf numFmtId="0" fontId="2" fillId="3" borderId="17" xfId="4" applyFont="1" applyFill="1" applyBorder="1" applyAlignment="1">
      <alignment horizontal="center"/>
    </xf>
    <xf numFmtId="0" fontId="5" fillId="2" borderId="39" xfId="10" applyFont="1" applyFill="1" applyBorder="1" applyAlignment="1">
      <alignment horizontal="left" vertical="center" wrapText="1" indent="23"/>
    </xf>
    <xf numFmtId="0" fontId="5" fillId="2" borderId="6" xfId="10" applyFont="1" applyFill="1" applyBorder="1" applyAlignment="1">
      <alignment horizontal="left" vertical="center" wrapText="1" indent="23"/>
    </xf>
    <xf numFmtId="49" fontId="3" fillId="0" borderId="0" xfId="10" applyNumberFormat="1" applyFont="1" applyAlignment="1">
      <alignment horizontal="right" wrapText="1" indent="1"/>
    </xf>
    <xf numFmtId="49" fontId="3" fillId="0" borderId="2" xfId="10" applyNumberFormat="1" applyFont="1" applyBorder="1" applyAlignment="1">
      <alignment horizontal="right" wrapText="1" indent="1"/>
    </xf>
    <xf numFmtId="2" fontId="3" fillId="2" borderId="0" xfId="10" applyNumberFormat="1" applyFont="1" applyFill="1" applyAlignment="1">
      <alignment horizontal="right" vertical="top" wrapText="1"/>
    </xf>
    <xf numFmtId="0" fontId="2" fillId="0" borderId="23" xfId="10" applyFont="1" applyBorder="1" applyAlignment="1">
      <alignment horizontal="left" vertical="center" wrapText="1" indent="1"/>
    </xf>
    <xf numFmtId="0" fontId="2" fillId="0" borderId="24" xfId="10" applyFont="1" applyBorder="1" applyAlignment="1">
      <alignment horizontal="left" vertical="center" wrapText="1" indent="1"/>
    </xf>
    <xf numFmtId="0" fontId="2" fillId="3" borderId="19" xfId="4" applyFont="1" applyFill="1" applyBorder="1" applyAlignment="1">
      <alignment horizontal="center"/>
    </xf>
    <xf numFmtId="0" fontId="2" fillId="3" borderId="36" xfId="4" applyFont="1" applyFill="1" applyBorder="1" applyAlignment="1">
      <alignment horizontal="center"/>
    </xf>
    <xf numFmtId="0" fontId="2" fillId="3" borderId="40" xfId="4" applyFont="1" applyFill="1" applyBorder="1" applyAlignment="1">
      <alignment horizontal="center"/>
    </xf>
    <xf numFmtId="175" fontId="2" fillId="3" borderId="36" xfId="10" applyNumberFormat="1" applyFont="1" applyFill="1" applyBorder="1" applyAlignment="1">
      <alignment horizontal="left" vertical="center" wrapText="1" indent="1"/>
    </xf>
    <xf numFmtId="175" fontId="2" fillId="3" borderId="40" xfId="10" applyNumberFormat="1" applyFont="1" applyFill="1" applyBorder="1" applyAlignment="1">
      <alignment horizontal="left" vertical="center" wrapText="1" indent="1"/>
    </xf>
    <xf numFmtId="0" fontId="2" fillId="3" borderId="26" xfId="10" applyFont="1" applyFill="1" applyBorder="1" applyAlignment="1">
      <alignment horizontal="center" vertical="center"/>
    </xf>
    <xf numFmtId="0" fontId="2" fillId="3" borderId="31" xfId="10" applyFont="1" applyFill="1" applyBorder="1" applyAlignment="1">
      <alignment horizontal="center" vertical="center"/>
    </xf>
    <xf numFmtId="0" fontId="5" fillId="2" borderId="26" xfId="10" applyFont="1" applyFill="1" applyBorder="1" applyAlignment="1">
      <alignment horizontal="left" vertical="center" wrapText="1" indent="24"/>
    </xf>
    <xf numFmtId="0" fontId="5" fillId="2" borderId="27" xfId="10" applyFont="1" applyFill="1" applyBorder="1" applyAlignment="1">
      <alignment horizontal="left" vertical="center" wrapText="1" indent="24"/>
    </xf>
    <xf numFmtId="0" fontId="2" fillId="0" borderId="23" xfId="10" applyFont="1" applyBorder="1" applyAlignment="1">
      <alignment horizontal="left" vertical="top" wrapText="1" indent="1"/>
    </xf>
    <xf numFmtId="0" fontId="2" fillId="0" borderId="24" xfId="10" applyFont="1" applyBorder="1" applyAlignment="1">
      <alignment horizontal="left" vertical="top" wrapText="1" indent="1"/>
    </xf>
    <xf numFmtId="2" fontId="16" fillId="2" borderId="28" xfId="10" applyNumberFormat="1" applyFont="1" applyFill="1" applyBorder="1" applyAlignment="1">
      <alignment horizontal="center" vertical="center" wrapText="1"/>
    </xf>
    <xf numFmtId="2" fontId="16" fillId="2" borderId="30" xfId="10" applyNumberFormat="1" applyFont="1" applyFill="1" applyBorder="1" applyAlignment="1">
      <alignment horizontal="center" vertical="center" wrapText="1"/>
    </xf>
    <xf numFmtId="0" fontId="2" fillId="3" borderId="27" xfId="10" applyFont="1" applyFill="1" applyBorder="1" applyAlignment="1">
      <alignment horizontal="center" vertical="center"/>
    </xf>
    <xf numFmtId="0" fontId="2" fillId="3" borderId="25" xfId="10" applyFont="1" applyFill="1" applyBorder="1" applyAlignment="1">
      <alignment horizontal="center" vertical="center"/>
    </xf>
    <xf numFmtId="0" fontId="2" fillId="3" borderId="43" xfId="10" applyFont="1" applyFill="1" applyBorder="1" applyAlignment="1">
      <alignment horizontal="center" vertical="center" wrapText="1"/>
    </xf>
    <xf numFmtId="0" fontId="2" fillId="3" borderId="44" xfId="10" applyFont="1" applyFill="1" applyBorder="1" applyAlignment="1">
      <alignment horizontal="center" vertical="center" wrapText="1"/>
    </xf>
    <xf numFmtId="0" fontId="2" fillId="3" borderId="45" xfId="10" applyFont="1" applyFill="1" applyBorder="1" applyAlignment="1">
      <alignment horizontal="center" vertical="center" wrapText="1"/>
    </xf>
    <xf numFmtId="0" fontId="2" fillId="3" borderId="46" xfId="10" applyFont="1" applyFill="1" applyBorder="1" applyAlignment="1">
      <alignment horizontal="center" vertical="center" wrapText="1"/>
    </xf>
    <xf numFmtId="0" fontId="2" fillId="2" borderId="25" xfId="10" applyFont="1" applyFill="1" applyBorder="1" applyAlignment="1">
      <alignment horizontal="left"/>
    </xf>
    <xf numFmtId="2" fontId="16" fillId="2" borderId="6" xfId="10" applyNumberFormat="1" applyFont="1" applyFill="1" applyBorder="1" applyAlignment="1">
      <alignment horizontal="center" vertical="center" wrapText="1"/>
    </xf>
    <xf numFmtId="2" fontId="16" fillId="2" borderId="7" xfId="10" applyNumberFormat="1" applyFont="1" applyFill="1" applyBorder="1" applyAlignment="1">
      <alignment horizontal="center" vertical="center" wrapText="1"/>
    </xf>
    <xf numFmtId="0" fontId="5" fillId="2" borderId="39" xfId="10" applyFont="1" applyFill="1" applyBorder="1" applyAlignment="1">
      <alignment horizontal="left" vertical="center" wrapText="1" indent="26"/>
    </xf>
    <xf numFmtId="0" fontId="5" fillId="2" borderId="6" xfId="10" applyFont="1" applyFill="1" applyBorder="1" applyAlignment="1">
      <alignment horizontal="left" vertical="center" wrapText="1" indent="26"/>
    </xf>
    <xf numFmtId="0" fontId="5" fillId="2" borderId="1" xfId="10" applyFont="1" applyFill="1" applyBorder="1" applyAlignment="1">
      <alignment horizontal="left" vertical="center" wrapText="1" indent="26"/>
    </xf>
    <xf numFmtId="0" fontId="5" fillId="2" borderId="0" xfId="10" applyFont="1" applyFill="1" applyAlignment="1">
      <alignment horizontal="left" vertical="center" wrapText="1" indent="26"/>
    </xf>
    <xf numFmtId="0" fontId="20" fillId="0" borderId="26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10" fontId="20" fillId="0" borderId="27" xfId="0" applyNumberFormat="1" applyFont="1" applyBorder="1" applyAlignment="1">
      <alignment horizontal="center" vertical="center"/>
    </xf>
    <xf numFmtId="10" fontId="20" fillId="0" borderId="28" xfId="0" applyNumberFormat="1" applyFont="1" applyBorder="1" applyAlignment="1">
      <alignment horizontal="center" vertical="center"/>
    </xf>
    <xf numFmtId="10" fontId="20" fillId="0" borderId="25" xfId="0" applyNumberFormat="1" applyFont="1" applyBorder="1" applyAlignment="1">
      <alignment horizontal="center" vertical="center"/>
    </xf>
    <xf numFmtId="10" fontId="20" fillId="0" borderId="32" xfId="0" applyNumberFormat="1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7" fontId="0" fillId="0" borderId="25" xfId="0" applyNumberForma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4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0" fontId="32" fillId="0" borderId="29" xfId="0" applyFont="1" applyBorder="1" applyAlignment="1">
      <alignment horizontal="justify" vertical="center" wrapText="1"/>
    </xf>
    <xf numFmtId="0" fontId="32" fillId="0" borderId="0" xfId="0" applyFont="1" applyAlignment="1">
      <alignment horizontal="justify" vertical="center" wrapText="1"/>
    </xf>
    <xf numFmtId="0" fontId="32" fillId="0" borderId="30" xfId="0" applyFont="1" applyBorder="1" applyAlignment="1">
      <alignment horizontal="justify" vertical="center" wrapText="1"/>
    </xf>
    <xf numFmtId="0" fontId="32" fillId="0" borderId="31" xfId="0" applyFont="1" applyBorder="1" applyAlignment="1">
      <alignment horizontal="justify" vertical="center" wrapText="1"/>
    </xf>
    <xf numFmtId="0" fontId="32" fillId="0" borderId="25" xfId="0" applyFont="1" applyBorder="1" applyAlignment="1">
      <alignment horizontal="justify" vertical="center" wrapText="1"/>
    </xf>
    <xf numFmtId="0" fontId="32" fillId="0" borderId="32" xfId="0" applyFont="1" applyBorder="1" applyAlignment="1">
      <alignment horizontal="justify" vertical="center" wrapText="1"/>
    </xf>
    <xf numFmtId="0" fontId="32" fillId="0" borderId="26" xfId="0" applyFont="1" applyBorder="1" applyAlignment="1">
      <alignment horizontal="justify" vertical="center" wrapText="1"/>
    </xf>
    <xf numFmtId="0" fontId="32" fillId="0" borderId="27" xfId="0" applyFont="1" applyBorder="1" applyAlignment="1">
      <alignment horizontal="justify" vertical="center" wrapText="1"/>
    </xf>
    <xf numFmtId="0" fontId="32" fillId="0" borderId="28" xfId="0" applyFont="1" applyBorder="1" applyAlignment="1">
      <alignment horizontal="justify" vertical="center" wrapText="1"/>
    </xf>
    <xf numFmtId="164" fontId="5" fillId="2" borderId="36" xfId="21" applyFont="1" applyFill="1" applyBorder="1" applyAlignment="1" applyProtection="1">
      <alignment horizontal="right"/>
    </xf>
    <xf numFmtId="164" fontId="5" fillId="2" borderId="40" xfId="21" applyFont="1" applyFill="1" applyBorder="1" applyAlignment="1" applyProtection="1">
      <alignment horizontal="right"/>
    </xf>
    <xf numFmtId="164" fontId="5" fillId="2" borderId="16" xfId="21" applyFont="1" applyFill="1" applyBorder="1" applyAlignment="1" applyProtection="1">
      <alignment horizontal="right"/>
    </xf>
    <xf numFmtId="164" fontId="5" fillId="2" borderId="17" xfId="21" applyFont="1" applyFill="1" applyBorder="1" applyAlignment="1" applyProtection="1">
      <alignment horizontal="right"/>
    </xf>
    <xf numFmtId="0" fontId="5" fillId="0" borderId="0" xfId="10" applyFont="1" applyAlignment="1">
      <alignment horizontal="right" wrapText="1" indent="1"/>
    </xf>
    <xf numFmtId="0" fontId="5" fillId="0" borderId="2" xfId="10" applyFont="1" applyBorder="1" applyAlignment="1">
      <alignment horizontal="right" wrapText="1" indent="1"/>
    </xf>
    <xf numFmtId="0" fontId="3" fillId="0" borderId="0" xfId="0" applyFont="1" applyAlignment="1">
      <alignment horizontal="left" wrapText="1"/>
    </xf>
    <xf numFmtId="0" fontId="5" fillId="0" borderId="5" xfId="10" applyFont="1" applyBorder="1" applyAlignment="1">
      <alignment horizontal="right" wrapText="1" indent="1"/>
    </xf>
    <xf numFmtId="0" fontId="5" fillId="0" borderId="22" xfId="10" applyFont="1" applyBorder="1" applyAlignment="1">
      <alignment horizontal="right" wrapText="1" indent="1"/>
    </xf>
    <xf numFmtId="164" fontId="5" fillId="2" borderId="25" xfId="21" applyFont="1" applyFill="1" applyBorder="1" applyAlignment="1" applyProtection="1">
      <alignment horizontal="right"/>
    </xf>
    <xf numFmtId="164" fontId="5" fillId="2" borderId="32" xfId="21" applyFont="1" applyFill="1" applyBorder="1" applyAlignment="1" applyProtection="1">
      <alignment horizontal="right"/>
    </xf>
    <xf numFmtId="166" fontId="1" fillId="0" borderId="0" xfId="10" applyNumberFormat="1"/>
    <xf numFmtId="10" fontId="1" fillId="0" borderId="0" xfId="10" applyNumberFormat="1"/>
  </cellXfs>
  <cellStyles count="31">
    <cellStyle name="Cancel" xfId="1" xr:uid="{00000000-0005-0000-0000-000000000000}"/>
    <cellStyle name="Cancel 2" xfId="2" xr:uid="{00000000-0005-0000-0000-000001000000}"/>
    <cellStyle name="Cancel 2 2" xfId="3" xr:uid="{00000000-0005-0000-0000-000002000000}"/>
    <cellStyle name="Cancel 4" xfId="4" xr:uid="{00000000-0005-0000-0000-000003000000}"/>
    <cellStyle name="Moeda 2" xfId="5" xr:uid="{00000000-0005-0000-0000-000004000000}"/>
    <cellStyle name="Normal" xfId="0" builtinId="0"/>
    <cellStyle name="Normal 2" xfId="6" xr:uid="{00000000-0005-0000-0000-000006000000}"/>
    <cellStyle name="Normal 2 2 2" xfId="7" xr:uid="{00000000-0005-0000-0000-000007000000}"/>
    <cellStyle name="Normal 2 3" xfId="8" xr:uid="{00000000-0005-0000-0000-000008000000}"/>
    <cellStyle name="Normal 2 5" xfId="9" xr:uid="{00000000-0005-0000-0000-000009000000}"/>
    <cellStyle name="Normal 3" xfId="10" xr:uid="{00000000-0005-0000-0000-00000A000000}"/>
    <cellStyle name="Normal 4" xfId="11" xr:uid="{00000000-0005-0000-0000-00000B000000}"/>
    <cellStyle name="Normal 9 2" xfId="12" xr:uid="{00000000-0005-0000-0000-00000C000000}"/>
    <cellStyle name="Porcentagem" xfId="13" builtinId="5"/>
    <cellStyle name="Separador de milhares 11" xfId="14" xr:uid="{00000000-0005-0000-0000-00000F000000}"/>
    <cellStyle name="Separador de milhares 2" xfId="15" xr:uid="{00000000-0005-0000-0000-000010000000}"/>
    <cellStyle name="Separador de milhares 2 2" xfId="16" xr:uid="{00000000-0005-0000-0000-000011000000}"/>
    <cellStyle name="Separador de milhares 2 2 2" xfId="17" xr:uid="{00000000-0005-0000-0000-000012000000}"/>
    <cellStyle name="Separador de milhares 2 2 2 2" xfId="18" xr:uid="{00000000-0005-0000-0000-000013000000}"/>
    <cellStyle name="Separador de milhares 2 2 3" xfId="19" xr:uid="{00000000-0005-0000-0000-000014000000}"/>
    <cellStyle name="Separador de milhares 2 3" xfId="20" xr:uid="{00000000-0005-0000-0000-000015000000}"/>
    <cellStyle name="Separador de milhares 3" xfId="21" xr:uid="{00000000-0005-0000-0000-000016000000}"/>
    <cellStyle name="Separador de milhares 3 2" xfId="22" xr:uid="{00000000-0005-0000-0000-000017000000}"/>
    <cellStyle name="Separador de milhares 3 2 2" xfId="23" xr:uid="{00000000-0005-0000-0000-000018000000}"/>
    <cellStyle name="Separador de milhares 3 3" xfId="24" xr:uid="{00000000-0005-0000-0000-000019000000}"/>
    <cellStyle name="Separador de milhares 4 2 2" xfId="25" xr:uid="{00000000-0005-0000-0000-00001A000000}"/>
    <cellStyle name="Separador de milhares 4 2 2 2" xfId="26" xr:uid="{00000000-0005-0000-0000-00001B000000}"/>
    <cellStyle name="Separador de milhares 4 5" xfId="27" xr:uid="{00000000-0005-0000-0000-00001C000000}"/>
    <cellStyle name="Separador de milhares 4 5 2" xfId="28" xr:uid="{00000000-0005-0000-0000-00001D000000}"/>
    <cellStyle name="Vírgula" xfId="29" builtinId="3"/>
    <cellStyle name="Vírgula 2" xfId="30" xr:uid="{00000000-0005-0000-0000-00001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27</xdr:row>
      <xdr:rowOff>30480</xdr:rowOff>
    </xdr:from>
    <xdr:to>
      <xdr:col>2</xdr:col>
      <xdr:colOff>2324100</xdr:colOff>
      <xdr:row>30</xdr:row>
      <xdr:rowOff>114300</xdr:rowOff>
    </xdr:to>
    <xdr:pic>
      <xdr:nvPicPr>
        <xdr:cNvPr id="1785705" name="Imagem 5">
          <a:extLst>
            <a:ext uri="{FF2B5EF4-FFF2-40B4-BE49-F238E27FC236}">
              <a16:creationId xmlns:a16="http://schemas.microsoft.com/office/drawing/2014/main" id="{676D69A7-5A35-BE88-2BA5-9E180F98F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" y="4198620"/>
          <a:ext cx="3017520" cy="586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350520</xdr:colOff>
      <xdr:row>1</xdr:row>
      <xdr:rowOff>45720</xdr:rowOff>
    </xdr:from>
    <xdr:to>
      <xdr:col>6</xdr:col>
      <xdr:colOff>784860</xdr:colOff>
      <xdr:row>1</xdr:row>
      <xdr:rowOff>480060</xdr:rowOff>
    </xdr:to>
    <xdr:pic>
      <xdr:nvPicPr>
        <xdr:cNvPr id="1796166" name="Imagem 5">
          <a:extLst>
            <a:ext uri="{FF2B5EF4-FFF2-40B4-BE49-F238E27FC236}">
              <a16:creationId xmlns:a16="http://schemas.microsoft.com/office/drawing/2014/main" id="{B86E3885-9B3E-E68A-955F-38D2814C8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3740" y="220980"/>
          <a:ext cx="233934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106680</xdr:colOff>
      <xdr:row>1</xdr:row>
      <xdr:rowOff>365760</xdr:rowOff>
    </xdr:from>
    <xdr:to>
      <xdr:col>6</xdr:col>
      <xdr:colOff>762000</xdr:colOff>
      <xdr:row>2</xdr:row>
      <xdr:rowOff>106680</xdr:rowOff>
    </xdr:to>
    <xdr:pic>
      <xdr:nvPicPr>
        <xdr:cNvPr id="1796167" name="Imagem 6">
          <a:extLst>
            <a:ext uri="{FF2B5EF4-FFF2-40B4-BE49-F238E27FC236}">
              <a16:creationId xmlns:a16="http://schemas.microsoft.com/office/drawing/2014/main" id="{84F94357-E85B-A9EF-DBDE-453C017D5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541020"/>
          <a:ext cx="160782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30480</xdr:colOff>
      <xdr:row>1</xdr:row>
      <xdr:rowOff>45720</xdr:rowOff>
    </xdr:from>
    <xdr:to>
      <xdr:col>2</xdr:col>
      <xdr:colOff>777240</xdr:colOff>
      <xdr:row>1</xdr:row>
      <xdr:rowOff>518160</xdr:rowOff>
    </xdr:to>
    <xdr:pic>
      <xdr:nvPicPr>
        <xdr:cNvPr id="1796168" name="Imagem 4">
          <a:extLst>
            <a:ext uri="{FF2B5EF4-FFF2-40B4-BE49-F238E27FC236}">
              <a16:creationId xmlns:a16="http://schemas.microsoft.com/office/drawing/2014/main" id="{DAF53D44-B314-0171-DF28-19888147D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" y="220980"/>
          <a:ext cx="1394460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3"/>
  <dimension ref="B1:G41"/>
  <sheetViews>
    <sheetView showGridLines="0" topLeftCell="A2" zoomScale="115" zoomScaleNormal="115" workbookViewId="0">
      <selection activeCell="D35" sqref="D35"/>
    </sheetView>
  </sheetViews>
  <sheetFormatPr defaultColWidth="9.140625" defaultRowHeight="12.75"/>
  <cols>
    <col min="1" max="1" width="9.140625" style="4"/>
    <col min="2" max="2" width="12.42578125" style="5" customWidth="1"/>
    <col min="3" max="3" width="85.7109375" style="5" customWidth="1"/>
    <col min="4" max="4" width="19.7109375" style="164" bestFit="1" customWidth="1"/>
    <col min="5" max="5" width="14.85546875" style="165" bestFit="1" customWidth="1"/>
    <col min="6" max="6" width="9.140625" style="4"/>
    <col min="7" max="7" width="11.5703125" style="4" bestFit="1" customWidth="1"/>
    <col min="8" max="8" width="12.5703125" style="4" bestFit="1" customWidth="1"/>
    <col min="9" max="16384" width="9.140625" style="4"/>
  </cols>
  <sheetData>
    <row r="1" spans="2:6" ht="13.5" thickBot="1"/>
    <row r="2" spans="2:6" s="1" customFormat="1" ht="24.95" customHeight="1">
      <c r="B2" s="321"/>
      <c r="C2" s="322"/>
      <c r="D2" s="202"/>
      <c r="E2" s="203"/>
    </row>
    <row r="3" spans="2:6" s="1" customFormat="1" ht="6" customHeight="1">
      <c r="B3" s="193"/>
      <c r="C3" s="194"/>
      <c r="D3" s="195"/>
      <c r="E3" s="196"/>
    </row>
    <row r="4" spans="2:6" s="1" customFormat="1" ht="13.7" customHeight="1">
      <c r="B4" s="193"/>
      <c r="C4" s="325" t="s">
        <v>153</v>
      </c>
      <c r="D4" s="325"/>
      <c r="E4" s="197">
        <v>45397</v>
      </c>
    </row>
    <row r="5" spans="2:6" s="1" customFormat="1" ht="13.7" customHeight="1">
      <c r="B5" s="193"/>
      <c r="C5" s="325" t="s">
        <v>154</v>
      </c>
      <c r="D5" s="325"/>
      <c r="E5" s="198">
        <v>715</v>
      </c>
    </row>
    <row r="6" spans="2:6" s="1" customFormat="1" ht="13.7" customHeight="1">
      <c r="B6" s="193"/>
      <c r="C6" s="325" t="s">
        <v>155</v>
      </c>
      <c r="D6" s="325"/>
      <c r="E6" s="199">
        <v>500</v>
      </c>
    </row>
    <row r="7" spans="2:6" s="1" customFormat="1" ht="13.7" customHeight="1">
      <c r="B7" s="193"/>
      <c r="C7" s="325" t="s">
        <v>156</v>
      </c>
      <c r="D7" s="325"/>
      <c r="E7" s="200">
        <v>13800</v>
      </c>
    </row>
    <row r="8" spans="2:6" s="1" customFormat="1" ht="13.7" customHeight="1">
      <c r="B8" s="193"/>
      <c r="C8" s="325" t="s">
        <v>157</v>
      </c>
      <c r="D8" s="325"/>
      <c r="E8" s="200" t="s">
        <v>194</v>
      </c>
    </row>
    <row r="9" spans="2:6" s="1" customFormat="1" ht="13.7" customHeight="1">
      <c r="B9" s="193"/>
      <c r="C9" s="325" t="s">
        <v>158</v>
      </c>
      <c r="D9" s="325"/>
      <c r="E9" s="201">
        <v>500</v>
      </c>
    </row>
    <row r="10" spans="2:6" s="2" customFormat="1" ht="15" customHeight="1">
      <c r="B10" s="179" t="s">
        <v>145</v>
      </c>
      <c r="C10" s="180" t="s">
        <v>193</v>
      </c>
      <c r="D10" s="323"/>
      <c r="E10" s="324"/>
    </row>
    <row r="11" spans="2:6" s="2" customFormat="1" ht="15.75" customHeight="1" thickBot="1">
      <c r="B11" s="181" t="s">
        <v>144</v>
      </c>
      <c r="C11" s="182" t="s">
        <v>209</v>
      </c>
      <c r="D11" s="285"/>
      <c r="E11" s="286"/>
    </row>
    <row r="12" spans="2:6" ht="6" customHeight="1" thickBot="1">
      <c r="B12" s="3"/>
      <c r="C12" s="3"/>
      <c r="D12" s="18"/>
      <c r="E12" s="19"/>
    </row>
    <row r="13" spans="2:6" ht="16.149999999999999" customHeight="1" thickBot="1">
      <c r="B13" s="318" t="s">
        <v>22</v>
      </c>
      <c r="C13" s="319"/>
      <c r="D13" s="319"/>
      <c r="E13" s="320"/>
    </row>
    <row r="14" spans="2:6" ht="6" customHeight="1" thickBot="1">
      <c r="B14" s="166"/>
      <c r="C14" s="166"/>
      <c r="D14" s="168"/>
      <c r="E14" s="167"/>
    </row>
    <row r="15" spans="2:6" s="160" customFormat="1" ht="15" customHeight="1" thickBot="1">
      <c r="B15" s="169" t="s">
        <v>0</v>
      </c>
      <c r="C15" s="191" t="s">
        <v>4</v>
      </c>
      <c r="D15" s="170" t="s">
        <v>10</v>
      </c>
      <c r="E15" s="171" t="s">
        <v>11</v>
      </c>
    </row>
    <row r="16" spans="2:6" ht="6" customHeight="1">
      <c r="B16" s="183"/>
      <c r="C16" s="184"/>
      <c r="D16" s="173"/>
      <c r="E16" s="172"/>
      <c r="F16" s="173"/>
    </row>
    <row r="17" spans="2:7" ht="14.65" customHeight="1">
      <c r="B17" s="216">
        <v>1</v>
      </c>
      <c r="C17" s="185" t="s">
        <v>164</v>
      </c>
      <c r="D17" s="186">
        <v>2595505.8500000006</v>
      </c>
      <c r="E17" s="187">
        <v>0.69583371714019149</v>
      </c>
      <c r="G17" s="173"/>
    </row>
    <row r="18" spans="2:7" ht="14.65" customHeight="1">
      <c r="B18" s="217" t="s">
        <v>2</v>
      </c>
      <c r="C18" s="311" t="s">
        <v>165</v>
      </c>
      <c r="D18" s="162">
        <v>1919348.4900000002</v>
      </c>
      <c r="E18" s="192" t="s">
        <v>196</v>
      </c>
      <c r="G18" s="173"/>
    </row>
    <row r="19" spans="2:7" ht="14.65" customHeight="1">
      <c r="B19" s="217" t="s">
        <v>3</v>
      </c>
      <c r="C19" s="311" t="s">
        <v>195</v>
      </c>
      <c r="D19" s="162">
        <v>600966.24000000011</v>
      </c>
      <c r="E19" s="192" t="s">
        <v>196</v>
      </c>
      <c r="G19" s="173"/>
    </row>
    <row r="20" spans="2:7" ht="14.65" customHeight="1">
      <c r="B20" s="217" t="s">
        <v>18</v>
      </c>
      <c r="C20" s="311" t="s">
        <v>211</v>
      </c>
      <c r="D20" s="162">
        <v>75191.12000000001</v>
      </c>
      <c r="E20" s="192" t="s">
        <v>196</v>
      </c>
      <c r="G20" s="173"/>
    </row>
    <row r="21" spans="2:7" ht="15.95" customHeight="1">
      <c r="B21" s="216">
        <v>2</v>
      </c>
      <c r="C21" s="188" t="s">
        <v>166</v>
      </c>
      <c r="D21" s="189">
        <v>551355.88999999966</v>
      </c>
      <c r="E21" s="187">
        <v>0.147813967903728</v>
      </c>
      <c r="G21" s="173"/>
    </row>
    <row r="22" spans="2:7" ht="14.65" customHeight="1">
      <c r="B22" s="217" t="s">
        <v>167</v>
      </c>
      <c r="C22" s="311" t="s">
        <v>168</v>
      </c>
      <c r="D22" s="219">
        <v>15662.970000000001</v>
      </c>
      <c r="E22" s="192" t="s">
        <v>196</v>
      </c>
      <c r="G22" s="173"/>
    </row>
    <row r="23" spans="2:7" ht="14.65" customHeight="1">
      <c r="B23" s="217" t="s">
        <v>169</v>
      </c>
      <c r="C23" s="311" t="s">
        <v>170</v>
      </c>
      <c r="D23" s="219">
        <v>12201.72</v>
      </c>
      <c r="E23" s="192" t="s">
        <v>196</v>
      </c>
      <c r="G23" s="173"/>
    </row>
    <row r="24" spans="2:7" ht="14.65" customHeight="1">
      <c r="B24" s="217" t="s">
        <v>171</v>
      </c>
      <c r="C24" s="311" t="s">
        <v>172</v>
      </c>
      <c r="D24" s="219">
        <v>9623.76</v>
      </c>
      <c r="E24" s="192" t="s">
        <v>196</v>
      </c>
      <c r="G24" s="173"/>
    </row>
    <row r="25" spans="2:7" ht="14.65" customHeight="1">
      <c r="B25" s="217" t="s">
        <v>173</v>
      </c>
      <c r="C25" s="311" t="s">
        <v>174</v>
      </c>
      <c r="D25" s="219">
        <v>26262.560000000001</v>
      </c>
      <c r="E25" s="192" t="s">
        <v>196</v>
      </c>
      <c r="G25" s="173"/>
    </row>
    <row r="26" spans="2:7">
      <c r="B26" s="217" t="s">
        <v>175</v>
      </c>
      <c r="C26" s="312" t="s">
        <v>206</v>
      </c>
      <c r="D26" s="219">
        <v>487604.87999999971</v>
      </c>
      <c r="E26" s="192" t="s">
        <v>196</v>
      </c>
      <c r="G26" s="173"/>
    </row>
    <row r="27" spans="2:7" ht="14.65" customHeight="1">
      <c r="B27" s="216">
        <v>3</v>
      </c>
      <c r="C27" s="188" t="s">
        <v>208</v>
      </c>
      <c r="D27" s="189">
        <v>583204.49000000011</v>
      </c>
      <c r="E27" s="187">
        <v>0.15635231495608057</v>
      </c>
      <c r="G27" s="173"/>
    </row>
    <row r="28" spans="2:7" ht="14.65" customHeight="1">
      <c r="B28" s="217" t="s">
        <v>184</v>
      </c>
      <c r="C28" s="218" t="s">
        <v>185</v>
      </c>
      <c r="D28" s="219">
        <v>216203.34000000008</v>
      </c>
      <c r="E28" s="192"/>
      <c r="G28" s="173"/>
    </row>
    <row r="29" spans="2:7" ht="14.65" customHeight="1">
      <c r="B29" s="217" t="s">
        <v>186</v>
      </c>
      <c r="C29" s="218" t="s">
        <v>188</v>
      </c>
      <c r="D29" s="219">
        <v>136625.67000000004</v>
      </c>
      <c r="E29" s="192"/>
      <c r="G29" s="173"/>
    </row>
    <row r="30" spans="2:7" ht="14.65" customHeight="1">
      <c r="B30" s="217" t="s">
        <v>187</v>
      </c>
      <c r="C30" s="218" t="s">
        <v>190</v>
      </c>
      <c r="D30" s="219">
        <v>47235.48</v>
      </c>
      <c r="E30" s="192"/>
      <c r="G30" s="173"/>
    </row>
    <row r="31" spans="2:7" ht="14.65" customHeight="1">
      <c r="B31" s="217" t="s">
        <v>189</v>
      </c>
      <c r="C31" s="218" t="s">
        <v>207</v>
      </c>
      <c r="D31" s="219">
        <v>183140.00000000003</v>
      </c>
      <c r="E31" s="192"/>
      <c r="G31" s="173"/>
    </row>
    <row r="32" spans="2:7" ht="6" customHeight="1" thickBot="1">
      <c r="B32" s="163"/>
      <c r="C32" s="175"/>
      <c r="D32" s="176"/>
      <c r="E32" s="174"/>
    </row>
    <row r="33" spans="2:5" ht="15" customHeight="1" thickBot="1">
      <c r="B33" s="313" t="s">
        <v>13</v>
      </c>
      <c r="C33" s="314"/>
      <c r="D33" s="314"/>
      <c r="E33" s="315"/>
    </row>
    <row r="34" spans="2:5" ht="15" customHeight="1" thickBot="1">
      <c r="B34" s="316" t="s">
        <v>143</v>
      </c>
      <c r="C34" s="317"/>
      <c r="D34" s="177">
        <v>3730066.2300000004</v>
      </c>
      <c r="E34" s="178">
        <v>1</v>
      </c>
    </row>
    <row r="35" spans="2:5">
      <c r="B35" s="159"/>
      <c r="C35" s="159"/>
      <c r="D35" s="190"/>
      <c r="E35" s="161"/>
    </row>
    <row r="36" spans="2:5" ht="14.25">
      <c r="C36" s="309" t="s">
        <v>213</v>
      </c>
    </row>
    <row r="37" spans="2:5" ht="14.25">
      <c r="C37" s="204"/>
    </row>
    <row r="38" spans="2:5" ht="14.25">
      <c r="C38" s="205"/>
    </row>
    <row r="39" spans="2:5" ht="14.25">
      <c r="C39" s="206" t="s">
        <v>197</v>
      </c>
    </row>
    <row r="40" spans="2:5" ht="14.25">
      <c r="C40" s="207" t="s">
        <v>198</v>
      </c>
    </row>
    <row r="41" spans="2:5" ht="14.25">
      <c r="C41" s="207" t="s">
        <v>159</v>
      </c>
    </row>
  </sheetData>
  <mergeCells count="11">
    <mergeCell ref="B33:E33"/>
    <mergeCell ref="B34:C34"/>
    <mergeCell ref="B13:E13"/>
    <mergeCell ref="B2:C2"/>
    <mergeCell ref="D10:E10"/>
    <mergeCell ref="C5:D5"/>
    <mergeCell ref="C4:D4"/>
    <mergeCell ref="C7:D7"/>
    <mergeCell ref="C8:D8"/>
    <mergeCell ref="C9:D9"/>
    <mergeCell ref="C6:D6"/>
  </mergeCells>
  <phoneticPr fontId="18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2:O73"/>
  <sheetViews>
    <sheetView showGridLines="0" tabSelected="1" topLeftCell="A18" zoomScale="80" zoomScaleNormal="80" workbookViewId="0">
      <selection activeCell="H70" sqref="H70"/>
    </sheetView>
  </sheetViews>
  <sheetFormatPr defaultColWidth="9.140625" defaultRowHeight="12.75"/>
  <cols>
    <col min="1" max="1" width="9.140625" style="1"/>
    <col min="2" max="2" width="0.85546875" style="1" customWidth="1"/>
    <col min="3" max="3" width="13.140625" style="1" customWidth="1"/>
    <col min="4" max="4" width="90.7109375" style="1" customWidth="1"/>
    <col min="5" max="5" width="16.7109375" style="1" customWidth="1"/>
    <col min="6" max="6" width="12.7109375" style="1" customWidth="1"/>
    <col min="7" max="7" width="16.7109375" style="1" customWidth="1"/>
    <col min="8" max="8" width="17.85546875" style="1" bestFit="1" customWidth="1"/>
    <col min="9" max="9" width="18.42578125" style="1" bestFit="1" customWidth="1"/>
    <col min="10" max="11" width="19.140625" style="1" bestFit="1" customWidth="1"/>
    <col min="12" max="12" width="21.7109375" style="1" bestFit="1" customWidth="1"/>
    <col min="13" max="13" width="0.85546875" style="1" customWidth="1"/>
    <col min="14" max="14" width="17.28515625" style="1" customWidth="1"/>
    <col min="15" max="15" width="15.5703125" style="1" bestFit="1" customWidth="1"/>
    <col min="16" max="16384" width="9.140625" style="1"/>
  </cols>
  <sheetData>
    <row r="2" spans="3:14" ht="4.9000000000000004" customHeight="1"/>
    <row r="3" spans="3:14" ht="4.9000000000000004" customHeight="1">
      <c r="C3" s="335"/>
      <c r="D3" s="336"/>
      <c r="E3" s="336"/>
      <c r="F3" s="336"/>
      <c r="G3" s="336"/>
      <c r="H3" s="295"/>
      <c r="I3" s="295"/>
      <c r="J3" s="296"/>
      <c r="K3" s="296"/>
      <c r="L3" s="339"/>
    </row>
    <row r="4" spans="3:14" ht="15" customHeight="1">
      <c r="C4" s="297"/>
      <c r="D4" s="209"/>
      <c r="E4" s="209"/>
      <c r="J4" s="293" t="s">
        <v>153</v>
      </c>
      <c r="K4" s="274">
        <v>45397</v>
      </c>
      <c r="L4" s="340"/>
    </row>
    <row r="5" spans="3:14" ht="15" customHeight="1">
      <c r="C5" s="297"/>
      <c r="D5" s="209"/>
      <c r="E5" s="209"/>
      <c r="J5" s="293" t="s">
        <v>154</v>
      </c>
      <c r="K5" s="275">
        <v>715</v>
      </c>
      <c r="L5" s="340"/>
    </row>
    <row r="6" spans="3:14" ht="15" customHeight="1">
      <c r="C6" s="297"/>
      <c r="D6" s="209"/>
      <c r="E6" s="209"/>
      <c r="J6" s="293" t="s">
        <v>155</v>
      </c>
      <c r="K6" s="276">
        <v>500</v>
      </c>
      <c r="L6" s="298"/>
    </row>
    <row r="7" spans="3:14" ht="15" customHeight="1">
      <c r="C7" s="297"/>
      <c r="D7" s="209"/>
      <c r="E7" s="209"/>
      <c r="J7" s="293" t="s">
        <v>156</v>
      </c>
      <c r="K7" s="306">
        <v>13800</v>
      </c>
      <c r="L7" s="298"/>
    </row>
    <row r="8" spans="3:14" ht="15" customHeight="1">
      <c r="C8" s="297"/>
      <c r="D8" s="209"/>
      <c r="E8" s="209"/>
      <c r="J8" s="293" t="s">
        <v>157</v>
      </c>
      <c r="K8" s="277" t="s">
        <v>194</v>
      </c>
      <c r="L8" s="298"/>
    </row>
    <row r="9" spans="3:14" s="2" customFormat="1" ht="15" customHeight="1">
      <c r="C9" s="299"/>
      <c r="D9" s="118"/>
      <c r="E9" s="6"/>
      <c r="F9" s="1"/>
      <c r="G9" s="1"/>
      <c r="H9" s="1"/>
      <c r="I9" s="1"/>
      <c r="J9" s="293" t="s">
        <v>158</v>
      </c>
      <c r="K9" s="278">
        <v>500</v>
      </c>
      <c r="L9" s="300"/>
    </row>
    <row r="10" spans="3:14" s="2" customFormat="1" ht="15" customHeight="1">
      <c r="C10" s="301" t="s">
        <v>146</v>
      </c>
      <c r="D10" s="279" t="s">
        <v>193</v>
      </c>
      <c r="E10" s="6"/>
      <c r="F10" s="18"/>
      <c r="G10" s="6"/>
      <c r="H10" s="6"/>
      <c r="I10" s="6"/>
      <c r="J10" s="210"/>
      <c r="K10" s="208"/>
      <c r="L10" s="300"/>
    </row>
    <row r="11" spans="3:14" ht="15" customHeight="1">
      <c r="C11" s="302" t="s">
        <v>144</v>
      </c>
      <c r="D11" s="347" t="s">
        <v>209</v>
      </c>
      <c r="E11" s="347"/>
      <c r="F11" s="347"/>
      <c r="G11" s="347"/>
      <c r="H11" s="347"/>
      <c r="I11" s="303"/>
      <c r="J11" s="304"/>
      <c r="K11" s="304"/>
      <c r="L11" s="305"/>
    </row>
    <row r="12" spans="3:14" s="4" customFormat="1" ht="5.0999999999999996" customHeight="1">
      <c r="C12" s="3"/>
      <c r="D12" s="3"/>
      <c r="E12" s="19"/>
      <c r="F12" s="18"/>
      <c r="G12" s="19"/>
      <c r="H12" s="19"/>
      <c r="I12" s="19"/>
    </row>
    <row r="13" spans="3:14" ht="15.6" customHeight="1">
      <c r="C13" s="328" t="s">
        <v>178</v>
      </c>
      <c r="D13" s="329"/>
      <c r="E13" s="329"/>
      <c r="F13" s="329"/>
      <c r="G13" s="329"/>
      <c r="H13" s="329"/>
      <c r="I13" s="329"/>
      <c r="J13" s="329"/>
      <c r="K13" s="329"/>
      <c r="L13" s="330"/>
    </row>
    <row r="14" spans="3:14" ht="5.0999999999999996" customHeight="1">
      <c r="M14" s="2"/>
      <c r="N14" s="2"/>
    </row>
    <row r="15" spans="3:14" ht="15.6" customHeight="1">
      <c r="C15" s="333" t="s">
        <v>0</v>
      </c>
      <c r="D15" s="341" t="s">
        <v>9</v>
      </c>
      <c r="E15" s="343" t="s">
        <v>180</v>
      </c>
      <c r="F15" s="344"/>
      <c r="G15" s="343" t="s">
        <v>181</v>
      </c>
      <c r="H15" s="345"/>
      <c r="I15" s="345"/>
      <c r="J15" s="345"/>
      <c r="K15" s="345"/>
      <c r="L15" s="346"/>
    </row>
    <row r="16" spans="3:14" ht="15.6" customHeight="1">
      <c r="C16" s="334"/>
      <c r="D16" s="342"/>
      <c r="E16" s="283" t="s">
        <v>179</v>
      </c>
      <c r="F16" s="280" t="s">
        <v>152</v>
      </c>
      <c r="G16" s="281" t="s">
        <v>14</v>
      </c>
      <c r="H16" s="281" t="s">
        <v>15</v>
      </c>
      <c r="I16" s="281" t="s">
        <v>16</v>
      </c>
      <c r="J16" s="281" t="s">
        <v>17</v>
      </c>
      <c r="K16" s="282" t="s">
        <v>177</v>
      </c>
      <c r="L16" s="282" t="s">
        <v>182</v>
      </c>
    </row>
    <row r="17" spans="3:15" ht="19.899999999999999" customHeight="1">
      <c r="C17" s="223" t="s">
        <v>212</v>
      </c>
      <c r="D17" s="224"/>
      <c r="E17" s="224"/>
      <c r="F17" s="224"/>
      <c r="G17" s="224"/>
      <c r="H17" s="224"/>
      <c r="I17" s="224"/>
      <c r="J17" s="225" t="s">
        <v>176</v>
      </c>
      <c r="K17" s="331">
        <v>3730066.23</v>
      </c>
      <c r="L17" s="332"/>
      <c r="M17" s="220"/>
      <c r="N17" s="220"/>
    </row>
    <row r="18" spans="3:15" ht="6.95" customHeight="1"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"/>
      <c r="N18" s="2"/>
    </row>
    <row r="19" spans="3:15" ht="15.6" customHeight="1">
      <c r="C19" s="227">
        <v>1</v>
      </c>
      <c r="D19" s="228" t="s">
        <v>164</v>
      </c>
      <c r="E19" s="229">
        <v>2595505.8500000006</v>
      </c>
      <c r="F19" s="230">
        <v>0.99999999999999989</v>
      </c>
      <c r="G19" s="231"/>
      <c r="H19" s="231"/>
      <c r="I19" s="231"/>
      <c r="J19" s="232"/>
      <c r="K19" s="233">
        <v>0.69583371714019149</v>
      </c>
      <c r="L19" s="234">
        <v>2595505.8500000006</v>
      </c>
      <c r="M19" s="220"/>
      <c r="N19" s="220"/>
    </row>
    <row r="20" spans="3:15" ht="6.95" customHeight="1"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"/>
      <c r="N20" s="2"/>
    </row>
    <row r="21" spans="3:15" s="211" customFormat="1" ht="15" customHeight="1">
      <c r="C21" s="235" t="s">
        <v>2</v>
      </c>
      <c r="D21" s="236" t="s">
        <v>165</v>
      </c>
      <c r="E21" s="237">
        <v>1919348.4900000002</v>
      </c>
      <c r="F21" s="238">
        <v>0.73948917895908417</v>
      </c>
      <c r="G21" s="239" t="s">
        <v>196</v>
      </c>
      <c r="H21" s="239" t="s">
        <v>196</v>
      </c>
      <c r="I21" s="239">
        <v>959674.24500000011</v>
      </c>
      <c r="J21" s="239">
        <v>959674.24500000011</v>
      </c>
      <c r="K21" s="239" t="s">
        <v>196</v>
      </c>
      <c r="L21" s="239" t="s">
        <v>196</v>
      </c>
      <c r="O21" s="212"/>
    </row>
    <row r="22" spans="3:15" s="211" customFormat="1" ht="15" customHeight="1">
      <c r="C22" s="240"/>
      <c r="D22" s="241"/>
      <c r="E22" s="242"/>
      <c r="F22" s="243"/>
      <c r="G22" s="244" t="s">
        <v>196</v>
      </c>
      <c r="H22" s="244" t="s">
        <v>196</v>
      </c>
      <c r="I22" s="244">
        <v>0.5</v>
      </c>
      <c r="J22" s="244">
        <v>0.5</v>
      </c>
      <c r="K22" s="244" t="s">
        <v>196</v>
      </c>
      <c r="L22" s="244" t="s">
        <v>196</v>
      </c>
      <c r="O22" s="244">
        <v>1</v>
      </c>
    </row>
    <row r="23" spans="3:15" ht="6.95" customHeight="1"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"/>
      <c r="N23" s="2"/>
    </row>
    <row r="24" spans="3:15" s="211" customFormat="1" ht="15" customHeight="1">
      <c r="C24" s="235" t="s">
        <v>3</v>
      </c>
      <c r="D24" s="236" t="s">
        <v>195</v>
      </c>
      <c r="E24" s="237">
        <v>600966.24000000011</v>
      </c>
      <c r="F24" s="238">
        <v>0.23154108475617574</v>
      </c>
      <c r="G24" s="239" t="s">
        <v>196</v>
      </c>
      <c r="H24" s="239" t="s">
        <v>196</v>
      </c>
      <c r="I24" s="239" t="s">
        <v>196</v>
      </c>
      <c r="J24" s="239">
        <v>300483.12000000005</v>
      </c>
      <c r="K24" s="239">
        <v>300483.12000000005</v>
      </c>
      <c r="L24" s="239" t="s">
        <v>196</v>
      </c>
      <c r="O24" s="212"/>
    </row>
    <row r="25" spans="3:15" s="211" customFormat="1" ht="15" customHeight="1">
      <c r="C25" s="240"/>
      <c r="D25" s="241"/>
      <c r="E25" s="242"/>
      <c r="F25" s="243"/>
      <c r="G25" s="244" t="s">
        <v>196</v>
      </c>
      <c r="H25" s="244" t="s">
        <v>196</v>
      </c>
      <c r="I25" s="244" t="s">
        <v>196</v>
      </c>
      <c r="J25" s="244">
        <v>0.5</v>
      </c>
      <c r="K25" s="244">
        <v>0.5</v>
      </c>
      <c r="L25" s="244" t="s">
        <v>196</v>
      </c>
      <c r="O25" s="244">
        <v>1</v>
      </c>
    </row>
    <row r="26" spans="3:15" ht="6.95" customHeight="1"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"/>
      <c r="N26" s="2"/>
    </row>
    <row r="27" spans="3:15" s="211" customFormat="1" ht="15" customHeight="1">
      <c r="C27" s="235" t="s">
        <v>18</v>
      </c>
      <c r="D27" s="236" t="s">
        <v>211</v>
      </c>
      <c r="E27" s="237">
        <v>75191.12000000001</v>
      </c>
      <c r="F27" s="238">
        <v>2.8969736284740023E-2</v>
      </c>
      <c r="G27" s="239">
        <v>37595.560000000005</v>
      </c>
      <c r="H27" s="239">
        <v>37595.560000000005</v>
      </c>
      <c r="I27" s="239" t="s">
        <v>196</v>
      </c>
      <c r="J27" s="239" t="s">
        <v>196</v>
      </c>
      <c r="K27" s="239" t="s">
        <v>196</v>
      </c>
      <c r="L27" s="239" t="s">
        <v>196</v>
      </c>
      <c r="O27" s="212"/>
    </row>
    <row r="28" spans="3:15" s="211" customFormat="1" ht="15" customHeight="1">
      <c r="C28" s="240"/>
      <c r="D28" s="241"/>
      <c r="E28" s="242"/>
      <c r="F28" s="243"/>
      <c r="G28" s="244">
        <v>0.5</v>
      </c>
      <c r="H28" s="244">
        <v>0.5</v>
      </c>
      <c r="I28" s="244" t="s">
        <v>196</v>
      </c>
      <c r="J28" s="244" t="s">
        <v>196</v>
      </c>
      <c r="K28" s="244" t="s">
        <v>196</v>
      </c>
      <c r="L28" s="244" t="s">
        <v>196</v>
      </c>
      <c r="O28" s="244">
        <v>1</v>
      </c>
    </row>
    <row r="29" spans="3:15" ht="6.95" customHeight="1"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"/>
      <c r="N29" s="2"/>
    </row>
    <row r="30" spans="3:15" ht="15.6" customHeight="1">
      <c r="C30" s="227">
        <v>2</v>
      </c>
      <c r="D30" s="228" t="s">
        <v>166</v>
      </c>
      <c r="E30" s="229">
        <v>551355.88999999966</v>
      </c>
      <c r="F30" s="230">
        <v>1</v>
      </c>
      <c r="G30" s="231"/>
      <c r="H30" s="225"/>
      <c r="I30" s="225"/>
      <c r="J30" s="225"/>
      <c r="K30" s="233">
        <v>0.147813967903728</v>
      </c>
      <c r="L30" s="234">
        <v>551355.88999999966</v>
      </c>
    </row>
    <row r="31" spans="3:15" ht="6.95" customHeight="1"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"/>
      <c r="N31" s="2"/>
    </row>
    <row r="32" spans="3:15" s="211" customFormat="1" ht="15" customHeight="1">
      <c r="C32" s="235" t="s">
        <v>167</v>
      </c>
      <c r="D32" s="236" t="s">
        <v>199</v>
      </c>
      <c r="E32" s="237">
        <v>15662.970000000001</v>
      </c>
      <c r="F32" s="238">
        <v>2.8408094089645095E-2</v>
      </c>
      <c r="G32" s="239" t="s">
        <v>196</v>
      </c>
      <c r="H32" s="239" t="s">
        <v>196</v>
      </c>
      <c r="I32" s="239" t="s">
        <v>196</v>
      </c>
      <c r="J32" s="239">
        <v>7831.4850000000006</v>
      </c>
      <c r="K32" s="239">
        <v>7831.4850000000006</v>
      </c>
      <c r="L32" s="239" t="s">
        <v>196</v>
      </c>
      <c r="O32" s="212"/>
    </row>
    <row r="33" spans="3:15" s="211" customFormat="1" ht="15" customHeight="1">
      <c r="C33" s="240"/>
      <c r="D33" s="241"/>
      <c r="E33" s="242"/>
      <c r="F33" s="243"/>
      <c r="G33" s="244" t="s">
        <v>196</v>
      </c>
      <c r="H33" s="244" t="s">
        <v>196</v>
      </c>
      <c r="I33" s="244" t="s">
        <v>196</v>
      </c>
      <c r="J33" s="244">
        <v>0.5</v>
      </c>
      <c r="K33" s="244">
        <v>0.5</v>
      </c>
      <c r="L33" s="244" t="s">
        <v>196</v>
      </c>
      <c r="O33" s="244">
        <v>1</v>
      </c>
    </row>
    <row r="34" spans="3:15" ht="6.95" customHeight="1"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"/>
      <c r="N34" s="2"/>
    </row>
    <row r="35" spans="3:15" s="211" customFormat="1" ht="15" customHeight="1">
      <c r="C35" s="235" t="s">
        <v>169</v>
      </c>
      <c r="D35" s="337" t="s">
        <v>200</v>
      </c>
      <c r="E35" s="237">
        <v>12201.72</v>
      </c>
      <c r="F35" s="238">
        <v>2.2130388413915389E-2</v>
      </c>
      <c r="G35" s="239" t="s">
        <v>196</v>
      </c>
      <c r="H35" s="239" t="s">
        <v>196</v>
      </c>
      <c r="I35" s="239" t="s">
        <v>196</v>
      </c>
      <c r="J35" s="239">
        <v>6100.86</v>
      </c>
      <c r="K35" s="239">
        <v>6100.86</v>
      </c>
      <c r="L35" s="239" t="s">
        <v>196</v>
      </c>
      <c r="O35" s="213"/>
    </row>
    <row r="36" spans="3:15" s="211" customFormat="1" ht="15" customHeight="1">
      <c r="C36" s="240"/>
      <c r="D36" s="338"/>
      <c r="E36" s="242"/>
      <c r="F36" s="243"/>
      <c r="G36" s="244" t="s">
        <v>196</v>
      </c>
      <c r="H36" s="244" t="s">
        <v>196</v>
      </c>
      <c r="I36" s="244" t="s">
        <v>196</v>
      </c>
      <c r="J36" s="244">
        <v>0.5</v>
      </c>
      <c r="K36" s="244">
        <v>0.5</v>
      </c>
      <c r="L36" s="244" t="s">
        <v>196</v>
      </c>
      <c r="O36" s="244">
        <v>1</v>
      </c>
    </row>
    <row r="37" spans="3:15" ht="6.95" customHeight="1"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"/>
      <c r="N37" s="2"/>
    </row>
    <row r="38" spans="3:15" s="211" customFormat="1" ht="15" customHeight="1">
      <c r="C38" s="235" t="s">
        <v>171</v>
      </c>
      <c r="D38" s="236" t="s">
        <v>201</v>
      </c>
      <c r="E38" s="237">
        <v>9623.76</v>
      </c>
      <c r="F38" s="238">
        <v>1.7454715138710147E-2</v>
      </c>
      <c r="G38" s="239" t="s">
        <v>196</v>
      </c>
      <c r="H38" s="239" t="s">
        <v>196</v>
      </c>
      <c r="I38" s="239" t="s">
        <v>196</v>
      </c>
      <c r="J38" s="239">
        <v>4811.88</v>
      </c>
      <c r="K38" s="239">
        <v>4811.88</v>
      </c>
      <c r="L38" s="239" t="s">
        <v>196</v>
      </c>
      <c r="O38" s="213"/>
    </row>
    <row r="39" spans="3:15" s="211" customFormat="1" ht="15" customHeight="1">
      <c r="C39" s="240"/>
      <c r="D39" s="245"/>
      <c r="E39" s="242"/>
      <c r="F39" s="243"/>
      <c r="G39" s="244" t="s">
        <v>196</v>
      </c>
      <c r="H39" s="244" t="s">
        <v>196</v>
      </c>
      <c r="I39" s="244" t="s">
        <v>196</v>
      </c>
      <c r="J39" s="244">
        <v>0.5</v>
      </c>
      <c r="K39" s="244">
        <v>0.5</v>
      </c>
      <c r="L39" s="244" t="s">
        <v>196</v>
      </c>
      <c r="O39" s="244">
        <v>1</v>
      </c>
    </row>
    <row r="40" spans="3:15" ht="6.95" customHeight="1"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"/>
      <c r="N40" s="2"/>
    </row>
    <row r="41" spans="3:15" s="211" customFormat="1" ht="15" customHeight="1">
      <c r="C41" s="235" t="s">
        <v>173</v>
      </c>
      <c r="D41" s="236" t="s">
        <v>202</v>
      </c>
      <c r="E41" s="237">
        <v>26262.560000000001</v>
      </c>
      <c r="F41" s="238">
        <v>4.7632682404100221E-2</v>
      </c>
      <c r="G41" s="239" t="s">
        <v>196</v>
      </c>
      <c r="H41" s="239">
        <v>5252.5120000000006</v>
      </c>
      <c r="I41" s="239">
        <v>7878.768</v>
      </c>
      <c r="J41" s="239">
        <v>13131.28</v>
      </c>
      <c r="K41" s="239" t="s">
        <v>196</v>
      </c>
      <c r="L41" s="239" t="s">
        <v>196</v>
      </c>
      <c r="O41" s="213"/>
    </row>
    <row r="42" spans="3:15" s="211" customFormat="1" ht="15" customHeight="1">
      <c r="C42" s="240"/>
      <c r="D42" s="245"/>
      <c r="E42" s="242"/>
      <c r="F42" s="243"/>
      <c r="G42" s="244" t="s">
        <v>196</v>
      </c>
      <c r="H42" s="244">
        <v>0.2</v>
      </c>
      <c r="I42" s="244">
        <v>0.3</v>
      </c>
      <c r="J42" s="244">
        <v>0.5</v>
      </c>
      <c r="K42" s="244" t="s">
        <v>196</v>
      </c>
      <c r="L42" s="244" t="s">
        <v>196</v>
      </c>
      <c r="O42" s="244">
        <v>1</v>
      </c>
    </row>
    <row r="43" spans="3:15" ht="6.95" customHeight="1"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"/>
      <c r="N43" s="2"/>
    </row>
    <row r="44" spans="3:15" s="211" customFormat="1" ht="15" customHeight="1">
      <c r="C44" s="235" t="s">
        <v>175</v>
      </c>
      <c r="D44" s="326" t="s">
        <v>203</v>
      </c>
      <c r="E44" s="237">
        <v>487604.87999999971</v>
      </c>
      <c r="F44" s="238">
        <v>0.88437411995362925</v>
      </c>
      <c r="G44" s="239" t="s">
        <v>196</v>
      </c>
      <c r="H44" s="239" t="s">
        <v>196</v>
      </c>
      <c r="I44" s="239" t="s">
        <v>196</v>
      </c>
      <c r="J44" s="239" t="s">
        <v>196</v>
      </c>
      <c r="K44" s="239">
        <v>487604.87999999971</v>
      </c>
      <c r="L44" s="239" t="s">
        <v>196</v>
      </c>
      <c r="O44" s="213"/>
    </row>
    <row r="45" spans="3:15" s="211" customFormat="1" ht="15" customHeight="1">
      <c r="C45" s="240"/>
      <c r="D45" s="327"/>
      <c r="E45" s="242"/>
      <c r="F45" s="243"/>
      <c r="G45" s="244" t="s">
        <v>196</v>
      </c>
      <c r="H45" s="244" t="s">
        <v>196</v>
      </c>
      <c r="I45" s="244" t="s">
        <v>196</v>
      </c>
      <c r="J45" s="244" t="s">
        <v>196</v>
      </c>
      <c r="K45" s="244">
        <v>1</v>
      </c>
      <c r="L45" s="244" t="s">
        <v>196</v>
      </c>
      <c r="O45" s="244">
        <v>1</v>
      </c>
    </row>
    <row r="46" spans="3:15" s="211" customFormat="1" ht="6.6" customHeight="1">
      <c r="C46" s="246"/>
      <c r="D46" s="247"/>
      <c r="E46" s="247"/>
      <c r="F46" s="248"/>
      <c r="G46" s="249"/>
      <c r="H46" s="250"/>
      <c r="I46" s="250"/>
      <c r="J46" s="250"/>
      <c r="K46" s="250"/>
      <c r="L46" s="250"/>
      <c r="O46" s="213"/>
    </row>
    <row r="47" spans="3:15" ht="15.6" customHeight="1">
      <c r="C47" s="227">
        <v>3</v>
      </c>
      <c r="D47" s="228" t="s">
        <v>183</v>
      </c>
      <c r="E47" s="229">
        <v>583204.49000000011</v>
      </c>
      <c r="F47" s="230">
        <v>1</v>
      </c>
      <c r="G47" s="231"/>
      <c r="H47" s="225"/>
      <c r="I47" s="225"/>
      <c r="J47" s="225"/>
      <c r="K47" s="233">
        <v>0.15635231495608057</v>
      </c>
      <c r="L47" s="234">
        <v>583204.49000000011</v>
      </c>
    </row>
    <row r="48" spans="3:15" s="211" customFormat="1" ht="5.0999999999999996" customHeight="1">
      <c r="C48" s="251"/>
      <c r="D48" s="252"/>
      <c r="E48" s="252"/>
      <c r="F48" s="253"/>
      <c r="G48" s="249"/>
      <c r="H48" s="250"/>
      <c r="I48" s="250"/>
      <c r="J48" s="250"/>
      <c r="K48" s="250"/>
      <c r="L48" s="250"/>
      <c r="O48" s="213"/>
    </row>
    <row r="49" spans="3:15" s="211" customFormat="1" ht="15" customHeight="1">
      <c r="C49" s="235" t="s">
        <v>184</v>
      </c>
      <c r="D49" s="326" t="s">
        <v>204</v>
      </c>
      <c r="E49" s="237">
        <v>216203.34000000008</v>
      </c>
      <c r="F49" s="238">
        <v>0.3707161788140555</v>
      </c>
      <c r="G49" s="254" t="s">
        <v>196</v>
      </c>
      <c r="H49" s="254" t="s">
        <v>196</v>
      </c>
      <c r="I49" s="254" t="s">
        <v>196</v>
      </c>
      <c r="J49" s="254" t="s">
        <v>196</v>
      </c>
      <c r="K49" s="254">
        <v>108101.67000000004</v>
      </c>
      <c r="L49" s="254">
        <v>108101.67000000004</v>
      </c>
      <c r="O49" s="213"/>
    </row>
    <row r="50" spans="3:15" s="211" customFormat="1" ht="15" customHeight="1">
      <c r="C50" s="240"/>
      <c r="D50" s="327"/>
      <c r="E50" s="242"/>
      <c r="F50" s="243"/>
      <c r="G50" s="255" t="s">
        <v>196</v>
      </c>
      <c r="H50" s="255" t="s">
        <v>196</v>
      </c>
      <c r="I50" s="255" t="s">
        <v>196</v>
      </c>
      <c r="J50" s="255" t="s">
        <v>196</v>
      </c>
      <c r="K50" s="255">
        <v>0.5</v>
      </c>
      <c r="L50" s="255">
        <v>0.5</v>
      </c>
      <c r="O50" s="244">
        <v>1</v>
      </c>
    </row>
    <row r="51" spans="3:15" s="211" customFormat="1" ht="5.0999999999999996" customHeight="1">
      <c r="C51" s="251"/>
      <c r="D51" s="252"/>
      <c r="E51" s="252"/>
      <c r="F51" s="253"/>
      <c r="G51" s="250"/>
      <c r="H51" s="250"/>
      <c r="I51" s="250"/>
      <c r="J51" s="250"/>
      <c r="K51" s="250"/>
      <c r="L51" s="250"/>
      <c r="O51" s="213"/>
    </row>
    <row r="52" spans="3:15" s="211" customFormat="1" ht="15" customHeight="1">
      <c r="C52" s="235" t="s">
        <v>186</v>
      </c>
      <c r="D52" s="236" t="s">
        <v>205</v>
      </c>
      <c r="E52" s="237">
        <v>136625.67000000004</v>
      </c>
      <c r="F52" s="238">
        <v>0.23426717788129514</v>
      </c>
      <c r="G52" s="254" t="s">
        <v>196</v>
      </c>
      <c r="H52" s="254" t="s">
        <v>196</v>
      </c>
      <c r="I52" s="254" t="s">
        <v>196</v>
      </c>
      <c r="J52" s="254" t="s">
        <v>196</v>
      </c>
      <c r="K52" s="254">
        <v>68312.835000000021</v>
      </c>
      <c r="L52" s="254">
        <v>68312.835000000021</v>
      </c>
      <c r="O52" s="213"/>
    </row>
    <row r="53" spans="3:15" s="211" customFormat="1" ht="15" customHeight="1">
      <c r="C53" s="240"/>
      <c r="D53" s="294"/>
      <c r="E53" s="242"/>
      <c r="F53" s="243"/>
      <c r="G53" s="255" t="s">
        <v>196</v>
      </c>
      <c r="H53" s="255" t="s">
        <v>196</v>
      </c>
      <c r="I53" s="255" t="s">
        <v>196</v>
      </c>
      <c r="J53" s="255" t="s">
        <v>196</v>
      </c>
      <c r="K53" s="255">
        <v>0.5</v>
      </c>
      <c r="L53" s="255">
        <v>0.5</v>
      </c>
      <c r="O53" s="244">
        <v>1</v>
      </c>
    </row>
    <row r="54" spans="3:15" s="211" customFormat="1" ht="5.0999999999999996" customHeight="1">
      <c r="C54" s="251"/>
      <c r="D54" s="252"/>
      <c r="E54" s="252"/>
      <c r="F54" s="253"/>
      <c r="G54" s="250"/>
      <c r="H54" s="250"/>
      <c r="I54" s="250"/>
      <c r="J54" s="250"/>
      <c r="K54" s="250"/>
      <c r="L54" s="250"/>
      <c r="O54" s="213"/>
    </row>
    <row r="55" spans="3:15" s="211" customFormat="1" ht="15" customHeight="1">
      <c r="C55" s="235" t="s">
        <v>187</v>
      </c>
      <c r="D55" s="236" t="s">
        <v>190</v>
      </c>
      <c r="E55" s="237">
        <v>47235.48</v>
      </c>
      <c r="F55" s="238">
        <v>8.0992997841974765E-2</v>
      </c>
      <c r="G55" s="254" t="s">
        <v>196</v>
      </c>
      <c r="H55" s="254" t="s">
        <v>196</v>
      </c>
      <c r="I55" s="254" t="s">
        <v>196</v>
      </c>
      <c r="J55" s="254" t="s">
        <v>196</v>
      </c>
      <c r="K55" s="254">
        <v>23617.74</v>
      </c>
      <c r="L55" s="254">
        <v>23617.74</v>
      </c>
      <c r="O55" s="213"/>
    </row>
    <row r="56" spans="3:15" s="211" customFormat="1" ht="15" customHeight="1">
      <c r="C56" s="240"/>
      <c r="D56" s="294"/>
      <c r="E56" s="242"/>
      <c r="F56" s="243"/>
      <c r="G56" s="255" t="s">
        <v>196</v>
      </c>
      <c r="H56" s="255" t="s">
        <v>196</v>
      </c>
      <c r="I56" s="255" t="s">
        <v>196</v>
      </c>
      <c r="J56" s="255" t="s">
        <v>196</v>
      </c>
      <c r="K56" s="255">
        <v>0.5</v>
      </c>
      <c r="L56" s="255">
        <v>0.5</v>
      </c>
      <c r="O56" s="244">
        <v>1</v>
      </c>
    </row>
    <row r="57" spans="3:15" s="211" customFormat="1" ht="6" customHeight="1">
      <c r="C57" s="251"/>
      <c r="D57" s="307"/>
      <c r="E57" s="252"/>
      <c r="F57" s="253"/>
      <c r="G57" s="308"/>
      <c r="H57" s="308"/>
      <c r="I57" s="308"/>
      <c r="J57" s="308"/>
      <c r="K57" s="308"/>
      <c r="L57" s="308"/>
      <c r="O57" s="253"/>
    </row>
    <row r="58" spans="3:15" s="211" customFormat="1" ht="15" customHeight="1">
      <c r="C58" s="235" t="s">
        <v>189</v>
      </c>
      <c r="D58" s="236" t="s">
        <v>207</v>
      </c>
      <c r="E58" s="237">
        <v>183140.00000000003</v>
      </c>
      <c r="F58" s="238">
        <v>0.31402364546267469</v>
      </c>
      <c r="G58" s="254" t="s">
        <v>196</v>
      </c>
      <c r="H58" s="254" t="s">
        <v>196</v>
      </c>
      <c r="I58" s="254" t="s">
        <v>196</v>
      </c>
      <c r="J58" s="254" t="s">
        <v>196</v>
      </c>
      <c r="K58" s="254">
        <v>91570.000000000015</v>
      </c>
      <c r="L58" s="254">
        <v>91570.000000000015</v>
      </c>
      <c r="O58" s="213"/>
    </row>
    <row r="59" spans="3:15" s="211" customFormat="1" ht="15" customHeight="1">
      <c r="C59" s="240"/>
      <c r="D59" s="284"/>
      <c r="E59" s="242"/>
      <c r="F59" s="243"/>
      <c r="G59" s="255" t="s">
        <v>196</v>
      </c>
      <c r="H59" s="255" t="s">
        <v>196</v>
      </c>
      <c r="I59" s="255" t="s">
        <v>196</v>
      </c>
      <c r="J59" s="255" t="s">
        <v>196</v>
      </c>
      <c r="K59" s="255">
        <v>0.5</v>
      </c>
      <c r="L59" s="255">
        <v>0.5</v>
      </c>
      <c r="O59" s="244">
        <v>1</v>
      </c>
    </row>
    <row r="60" spans="3:15" s="211" customFormat="1" ht="5.0999999999999996" customHeight="1">
      <c r="C60" s="251"/>
      <c r="D60" s="252"/>
      <c r="E60" s="252"/>
      <c r="F60" s="253"/>
      <c r="G60" s="256"/>
      <c r="H60" s="257"/>
      <c r="I60" s="257"/>
      <c r="J60" s="257"/>
      <c r="K60" s="257"/>
      <c r="L60" s="257"/>
      <c r="O60" s="213"/>
    </row>
    <row r="61" spans="3:15" s="211" customFormat="1" ht="15.75">
      <c r="C61" s="258"/>
      <c r="D61" s="259" t="s">
        <v>162</v>
      </c>
      <c r="E61" s="260"/>
      <c r="F61" s="261"/>
      <c r="G61" s="262">
        <v>37596.060000000005</v>
      </c>
      <c r="H61" s="262">
        <f>H41+H27</f>
        <v>42848.072000000007</v>
      </c>
      <c r="I61" s="262">
        <f>I41+I21</f>
        <v>967553.01300000015</v>
      </c>
      <c r="J61" s="262">
        <f>J41+J38+J35+J32+J24+J21</f>
        <v>1292032.8700000001</v>
      </c>
      <c r="K61" s="262">
        <f>K58+K55+K52+K49+K44+K38+K35+K32+K24</f>
        <v>1098434.4699999997</v>
      </c>
      <c r="L61" s="262">
        <f>L58+L55+L52+L49</f>
        <v>291602.24500000011</v>
      </c>
    </row>
    <row r="62" spans="3:15" s="211" customFormat="1" ht="15.75">
      <c r="C62" s="263"/>
      <c r="D62" s="264" t="s">
        <v>163</v>
      </c>
      <c r="E62" s="260"/>
      <c r="F62" s="265"/>
      <c r="G62" s="262">
        <v>37596.060000000005</v>
      </c>
      <c r="H62" s="262">
        <f>G62+H61</f>
        <v>80444.132000000012</v>
      </c>
      <c r="I62" s="262">
        <f>H62+I61</f>
        <v>1047997.1450000001</v>
      </c>
      <c r="J62" s="262">
        <f>I62+J61</f>
        <v>2340030.0150000001</v>
      </c>
      <c r="K62" s="262">
        <f>J62+K61</f>
        <v>3438464.4849999999</v>
      </c>
      <c r="L62" s="262">
        <f>K62+L61</f>
        <v>3730066.73</v>
      </c>
    </row>
    <row r="63" spans="3:15" s="211" customFormat="1" ht="15.75">
      <c r="C63" s="263"/>
      <c r="D63" s="264" t="s">
        <v>160</v>
      </c>
      <c r="E63" s="266"/>
      <c r="F63" s="267"/>
      <c r="G63" s="268">
        <v>1.0079193687668115E-2</v>
      </c>
      <c r="H63" s="268">
        <v>1.1487402463628643E-2</v>
      </c>
      <c r="I63" s="268">
        <v>0.259393199299842</v>
      </c>
      <c r="J63" s="268">
        <v>0.34638416326457572</v>
      </c>
      <c r="K63" s="268">
        <v>0.29448256472379036</v>
      </c>
      <c r="L63" s="268">
        <v>7.8176693661549307E-2</v>
      </c>
    </row>
    <row r="64" spans="3:15" s="211" customFormat="1" ht="15.75">
      <c r="C64" s="269"/>
      <c r="D64" s="270" t="s">
        <v>161</v>
      </c>
      <c r="E64" s="271"/>
      <c r="F64" s="272"/>
      <c r="G64" s="273">
        <v>1.0079193687668115E-2</v>
      </c>
      <c r="H64" s="273">
        <v>2.156659615129676E-2</v>
      </c>
      <c r="I64" s="273">
        <v>0.28095979545113875</v>
      </c>
      <c r="J64" s="273">
        <v>0.62734395871571447</v>
      </c>
      <c r="K64" s="273">
        <v>0.92182652343950489</v>
      </c>
      <c r="L64" s="273">
        <v>1.0000032171010542</v>
      </c>
    </row>
    <row r="66" spans="4:15" ht="14.25">
      <c r="D66" s="309" t="s">
        <v>213</v>
      </c>
      <c r="G66" s="396"/>
      <c r="H66" s="396"/>
      <c r="I66" s="396"/>
      <c r="J66" s="396"/>
      <c r="K66" s="396"/>
    </row>
    <row r="67" spans="4:15">
      <c r="D67" s="5"/>
      <c r="G67" s="395"/>
      <c r="H67" s="395"/>
      <c r="I67" s="395"/>
      <c r="J67" s="395"/>
      <c r="K67" s="395"/>
      <c r="L67" s="395"/>
      <c r="O67" s="395"/>
    </row>
    <row r="68" spans="4:15">
      <c r="D68" s="5"/>
      <c r="K68" s="396"/>
    </row>
    <row r="69" spans="4:15" ht="15">
      <c r="D69" s="119"/>
      <c r="G69" s="395"/>
      <c r="I69" s="395"/>
      <c r="J69" s="395"/>
      <c r="K69" s="396"/>
    </row>
    <row r="70" spans="4:15" ht="12.75" customHeight="1">
      <c r="D70" s="221" t="s">
        <v>191</v>
      </c>
      <c r="K70" s="396"/>
    </row>
    <row r="71" spans="4:15" ht="12.75" customHeight="1">
      <c r="D71" s="222" t="s">
        <v>192</v>
      </c>
      <c r="K71" s="396"/>
    </row>
    <row r="72" spans="4:15" ht="12.75" customHeight="1">
      <c r="D72" s="222" t="s">
        <v>159</v>
      </c>
    </row>
    <row r="73" spans="4:15" ht="4.9000000000000004" customHeight="1"/>
  </sheetData>
  <mergeCells count="12">
    <mergeCell ref="C3:G3"/>
    <mergeCell ref="D35:D36"/>
    <mergeCell ref="L3:L5"/>
    <mergeCell ref="D15:D16"/>
    <mergeCell ref="E15:F15"/>
    <mergeCell ref="G15:L15"/>
    <mergeCell ref="D11:H11"/>
    <mergeCell ref="D49:D50"/>
    <mergeCell ref="C13:L13"/>
    <mergeCell ref="K17:L17"/>
    <mergeCell ref="C15:C16"/>
    <mergeCell ref="D44:D45"/>
  </mergeCells>
  <printOptions horizontalCentered="1" verticalCentered="1"/>
  <pageMargins left="0.19685039370078741" right="0" top="0.19685039370078741" bottom="0.19685039370078741" header="0.31496062992125984" footer="0.31496062992125984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pageSetUpPr fitToPage="1"/>
  </sheetPr>
  <dimension ref="B1:AG53"/>
  <sheetViews>
    <sheetView showGridLines="0" workbookViewId="0">
      <selection activeCell="E2" sqref="E2:F2"/>
    </sheetView>
  </sheetViews>
  <sheetFormatPr defaultColWidth="9.140625" defaultRowHeight="15"/>
  <cols>
    <col min="1" max="1" width="9.140625" style="119"/>
    <col min="2" max="2" width="10.7109375" style="119" customWidth="1"/>
    <col min="3" max="3" width="68.7109375" style="119" customWidth="1"/>
    <col min="4" max="5" width="11.7109375" style="119" customWidth="1"/>
    <col min="6" max="6" width="12.7109375" style="119" customWidth="1"/>
    <col min="7" max="7" width="9.140625" style="119"/>
    <col min="8" max="8" width="6.28515625" style="119" customWidth="1"/>
    <col min="9" max="12" width="1.7109375" style="119" customWidth="1"/>
    <col min="13" max="13" width="6.140625" style="119" customWidth="1"/>
    <col min="14" max="14" width="1.7109375" style="119" customWidth="1"/>
    <col min="15" max="15" width="8.140625" style="119" customWidth="1"/>
    <col min="16" max="16" width="1.7109375" style="119" customWidth="1"/>
    <col min="17" max="17" width="8.140625" style="119" customWidth="1"/>
    <col min="18" max="22" width="1.7109375" style="119" customWidth="1"/>
    <col min="23" max="23" width="6.140625" style="119" customWidth="1"/>
    <col min="24" max="28" width="1.7109375" style="119" customWidth="1"/>
    <col min="29" max="29" width="6.140625" style="119" customWidth="1"/>
    <col min="30" max="33" width="1.7109375" style="119" customWidth="1"/>
    <col min="34" max="16384" width="9.140625" style="119"/>
  </cols>
  <sheetData>
    <row r="1" spans="2:33" ht="15.75" thickBot="1"/>
    <row r="2" spans="2:33" ht="20.100000000000001" customHeight="1">
      <c r="B2" s="350"/>
      <c r="C2" s="351"/>
      <c r="D2" s="351"/>
      <c r="E2" s="348"/>
      <c r="F2" s="349"/>
    </row>
    <row r="3" spans="2:33" ht="20.100000000000001" customHeight="1">
      <c r="B3" s="352"/>
      <c r="C3" s="353"/>
      <c r="D3" s="353"/>
      <c r="E3" s="215"/>
      <c r="F3" s="214"/>
    </row>
    <row r="4" spans="2:33" ht="9.9499999999999993" customHeight="1">
      <c r="B4" s="121"/>
      <c r="C4" s="65"/>
      <c r="D4" s="65"/>
      <c r="E4" s="215"/>
      <c r="F4" s="214"/>
    </row>
    <row r="5" spans="2:33">
      <c r="B5" s="122" t="s">
        <v>146</v>
      </c>
      <c r="C5" s="123" t="s">
        <v>193</v>
      </c>
      <c r="D5" s="124"/>
      <c r="E5" s="124"/>
      <c r="F5" s="125"/>
    </row>
    <row r="6" spans="2:33" ht="13.7" customHeight="1" thickBot="1">
      <c r="B6" s="126" t="s">
        <v>144</v>
      </c>
      <c r="C6" s="127" t="s">
        <v>209</v>
      </c>
      <c r="D6" s="128"/>
      <c r="E6" s="128"/>
      <c r="F6" s="129"/>
    </row>
    <row r="7" spans="2:33" ht="6" customHeight="1"/>
    <row r="8" spans="2:33" ht="15.75">
      <c r="B8" s="130"/>
      <c r="C8" s="364" t="s">
        <v>210</v>
      </c>
      <c r="D8" s="364"/>
      <c r="E8" s="364"/>
      <c r="F8" s="365"/>
    </row>
    <row r="9" spans="2:33" ht="6" customHeight="1"/>
    <row r="10" spans="2:33" ht="13.7" customHeight="1">
      <c r="B10" s="369" t="s">
        <v>26</v>
      </c>
      <c r="C10" s="369" t="s">
        <v>4</v>
      </c>
      <c r="D10" s="371" t="s">
        <v>69</v>
      </c>
      <c r="E10" s="372"/>
      <c r="F10" s="131" t="s">
        <v>70</v>
      </c>
    </row>
    <row r="11" spans="2:33" ht="13.7" customHeight="1">
      <c r="B11" s="370"/>
      <c r="C11" s="370"/>
      <c r="D11" s="132" t="s">
        <v>67</v>
      </c>
      <c r="E11" s="132" t="s">
        <v>68</v>
      </c>
      <c r="F11" s="133" t="s">
        <v>71</v>
      </c>
    </row>
    <row r="12" spans="2:33" ht="6" customHeight="1">
      <c r="B12" s="135"/>
      <c r="C12" s="120"/>
      <c r="D12" s="120"/>
      <c r="E12" s="120"/>
      <c r="F12" s="120"/>
    </row>
    <row r="13" spans="2:33" ht="13.7" customHeight="1">
      <c r="B13" s="136" t="s">
        <v>27</v>
      </c>
      <c r="C13" s="137" t="s">
        <v>36</v>
      </c>
      <c r="D13" s="138">
        <v>8.0000000000000002E-3</v>
      </c>
      <c r="E13" s="138">
        <v>0.01</v>
      </c>
      <c r="F13" s="157">
        <v>8.0000000000000002E-3</v>
      </c>
      <c r="H13" s="373" t="s">
        <v>76</v>
      </c>
      <c r="I13" s="362"/>
      <c r="J13" s="139" t="s">
        <v>74</v>
      </c>
      <c r="K13" s="140">
        <v>1</v>
      </c>
      <c r="L13" s="140" t="s">
        <v>72</v>
      </c>
      <c r="M13" s="140" t="s">
        <v>30</v>
      </c>
      <c r="N13" s="140" t="s">
        <v>72</v>
      </c>
      <c r="O13" s="140" t="s">
        <v>27</v>
      </c>
      <c r="P13" s="140" t="s">
        <v>72</v>
      </c>
      <c r="Q13" s="140" t="s">
        <v>28</v>
      </c>
      <c r="R13" s="140" t="s">
        <v>73</v>
      </c>
      <c r="S13" s="140" t="s">
        <v>12</v>
      </c>
      <c r="T13" s="139" t="s">
        <v>74</v>
      </c>
      <c r="U13" s="140">
        <v>1</v>
      </c>
      <c r="V13" s="140" t="s">
        <v>72</v>
      </c>
      <c r="W13" s="140" t="s">
        <v>29</v>
      </c>
      <c r="X13" s="140" t="s">
        <v>73</v>
      </c>
      <c r="Y13" s="140" t="s">
        <v>12</v>
      </c>
      <c r="Z13" s="139" t="s">
        <v>74</v>
      </c>
      <c r="AA13" s="140">
        <v>1</v>
      </c>
      <c r="AB13" s="140" t="s">
        <v>72</v>
      </c>
      <c r="AC13" s="140" t="s">
        <v>31</v>
      </c>
      <c r="AD13" s="140" t="s">
        <v>73</v>
      </c>
      <c r="AE13" s="139" t="s">
        <v>75</v>
      </c>
      <c r="AF13" s="140">
        <v>1</v>
      </c>
      <c r="AG13" s="366"/>
    </row>
    <row r="14" spans="2:33" ht="13.7" customHeight="1">
      <c r="B14" s="136" t="s">
        <v>28</v>
      </c>
      <c r="C14" s="137" t="s">
        <v>37</v>
      </c>
      <c r="D14" s="138">
        <v>9.7000000000000003E-3</v>
      </c>
      <c r="E14" s="138">
        <v>1.2699999999999999E-2</v>
      </c>
      <c r="F14" s="157">
        <v>9.7000000000000003E-3</v>
      </c>
      <c r="H14" s="373"/>
      <c r="I14" s="363"/>
      <c r="U14" s="119">
        <v>1</v>
      </c>
      <c r="V14" s="119" t="s">
        <v>75</v>
      </c>
      <c r="W14" s="141" t="s">
        <v>32</v>
      </c>
      <c r="AG14" s="367"/>
    </row>
    <row r="15" spans="2:33" ht="13.7" customHeight="1">
      <c r="B15" s="136" t="s">
        <v>29</v>
      </c>
      <c r="C15" s="137" t="s">
        <v>38</v>
      </c>
      <c r="D15" s="138">
        <v>5.8999999999999999E-3</v>
      </c>
      <c r="E15" s="138">
        <v>1.3899999999999999E-2</v>
      </c>
      <c r="F15" s="157">
        <v>5.8999999999999999E-3</v>
      </c>
    </row>
    <row r="16" spans="2:33" ht="13.7" customHeight="1">
      <c r="B16" s="136" t="s">
        <v>30</v>
      </c>
      <c r="C16" s="137" t="s">
        <v>39</v>
      </c>
      <c r="D16" s="138">
        <v>0.03</v>
      </c>
      <c r="E16" s="138">
        <v>5.5E-2</v>
      </c>
      <c r="F16" s="157">
        <v>0.03</v>
      </c>
      <c r="H16" s="373" t="s">
        <v>76</v>
      </c>
      <c r="I16" s="362"/>
      <c r="J16" s="139" t="s">
        <v>74</v>
      </c>
      <c r="K16" s="140">
        <v>1</v>
      </c>
      <c r="L16" s="140" t="s">
        <v>72</v>
      </c>
      <c r="M16" s="142">
        <v>0.03</v>
      </c>
      <c r="N16" s="140" t="s">
        <v>72</v>
      </c>
      <c r="O16" s="142">
        <v>8.0000000000000002E-3</v>
      </c>
      <c r="P16" s="140" t="s">
        <v>72</v>
      </c>
      <c r="Q16" s="142">
        <v>9.7000000000000003E-3</v>
      </c>
      <c r="R16" s="140" t="s">
        <v>73</v>
      </c>
      <c r="S16" s="140" t="s">
        <v>12</v>
      </c>
      <c r="T16" s="139" t="s">
        <v>74</v>
      </c>
      <c r="U16" s="140">
        <v>1</v>
      </c>
      <c r="V16" s="140" t="s">
        <v>72</v>
      </c>
      <c r="W16" s="142">
        <v>5.8999999999999999E-3</v>
      </c>
      <c r="X16" s="140" t="s">
        <v>73</v>
      </c>
      <c r="Y16" s="140" t="s">
        <v>12</v>
      </c>
      <c r="Z16" s="139" t="s">
        <v>74</v>
      </c>
      <c r="AA16" s="140">
        <v>1</v>
      </c>
      <c r="AB16" s="140" t="s">
        <v>72</v>
      </c>
      <c r="AC16" s="142">
        <v>6.1600000000000002E-2</v>
      </c>
      <c r="AD16" s="140" t="s">
        <v>73</v>
      </c>
      <c r="AE16" s="360" t="s">
        <v>75</v>
      </c>
      <c r="AF16" s="360">
        <v>1</v>
      </c>
      <c r="AG16" s="366"/>
    </row>
    <row r="17" spans="2:33" ht="13.7" customHeight="1">
      <c r="B17" s="136" t="s">
        <v>31</v>
      </c>
      <c r="C17" s="137" t="s">
        <v>40</v>
      </c>
      <c r="D17" s="138">
        <v>6.1600000000000002E-2</v>
      </c>
      <c r="E17" s="138">
        <v>8.9599999999999999E-2</v>
      </c>
      <c r="F17" s="157">
        <v>6.1600000000000002E-2</v>
      </c>
      <c r="H17" s="373"/>
      <c r="I17" s="363"/>
      <c r="U17" s="119">
        <v>1</v>
      </c>
      <c r="V17" s="119" t="s">
        <v>75</v>
      </c>
      <c r="W17" s="374">
        <v>0.13150000000000001</v>
      </c>
      <c r="X17" s="374"/>
      <c r="AE17" s="361"/>
      <c r="AF17" s="361"/>
      <c r="AG17" s="367"/>
    </row>
    <row r="18" spans="2:33" ht="6" customHeight="1">
      <c r="B18" s="143"/>
      <c r="C18" s="120"/>
      <c r="D18" s="138"/>
      <c r="E18" s="138"/>
      <c r="F18" s="158"/>
    </row>
    <row r="19" spans="2:33" ht="13.7" customHeight="1">
      <c r="B19" s="136" t="s">
        <v>32</v>
      </c>
      <c r="C19" s="137" t="s">
        <v>41</v>
      </c>
      <c r="D19" s="138"/>
      <c r="E19" s="138"/>
      <c r="F19" s="157">
        <v>0.13150000000000001</v>
      </c>
    </row>
    <row r="20" spans="2:33" ht="13.7" customHeight="1">
      <c r="B20" s="136" t="s">
        <v>33</v>
      </c>
      <c r="C20" s="137" t="s">
        <v>42</v>
      </c>
      <c r="D20" s="138"/>
      <c r="E20" s="138"/>
      <c r="F20" s="157">
        <v>0.05</v>
      </c>
      <c r="H20" s="361" t="s">
        <v>76</v>
      </c>
      <c r="I20" s="144"/>
      <c r="J20" s="362"/>
      <c r="K20" s="368">
        <v>1.0477000000000001</v>
      </c>
      <c r="L20" s="368"/>
      <c r="M20" s="368"/>
      <c r="N20" s="139" t="s">
        <v>12</v>
      </c>
      <c r="O20" s="145">
        <v>1.0059</v>
      </c>
      <c r="P20" s="139" t="s">
        <v>12</v>
      </c>
      <c r="Q20" s="146">
        <v>1.0616000000000001</v>
      </c>
      <c r="R20" s="360" t="s">
        <v>75</v>
      </c>
      <c r="S20" s="360">
        <v>1</v>
      </c>
      <c r="T20" s="366"/>
    </row>
    <row r="21" spans="2:33" ht="13.7" customHeight="1">
      <c r="B21" s="136" t="s">
        <v>34</v>
      </c>
      <c r="C21" s="137" t="s">
        <v>43</v>
      </c>
      <c r="D21" s="138"/>
      <c r="E21" s="138"/>
      <c r="F21" s="157">
        <v>0.03</v>
      </c>
      <c r="H21" s="361"/>
      <c r="I21" s="144"/>
      <c r="J21" s="363"/>
      <c r="K21" s="144"/>
      <c r="L21" s="144"/>
      <c r="O21" s="147">
        <v>0.86850000000000005</v>
      </c>
      <c r="R21" s="361"/>
      <c r="S21" s="361"/>
      <c r="T21" s="367"/>
    </row>
    <row r="22" spans="2:33" ht="13.7" customHeight="1">
      <c r="B22" s="136" t="s">
        <v>47</v>
      </c>
      <c r="C22" s="137" t="s">
        <v>44</v>
      </c>
      <c r="D22" s="138"/>
      <c r="E22" s="138"/>
      <c r="F22" s="157">
        <v>6.4999999999999997E-3</v>
      </c>
    </row>
    <row r="23" spans="2:33" ht="13.7" customHeight="1">
      <c r="B23" s="136" t="s">
        <v>35</v>
      </c>
      <c r="C23" s="137" t="s">
        <v>46</v>
      </c>
      <c r="D23" s="138"/>
      <c r="E23" s="138"/>
      <c r="F23" s="157">
        <v>4.4999999999999998E-2</v>
      </c>
      <c r="H23" s="354" t="s">
        <v>76</v>
      </c>
      <c r="I23" s="356">
        <v>0.2881986483454233</v>
      </c>
      <c r="J23" s="356"/>
      <c r="K23" s="356"/>
      <c r="L23" s="356"/>
      <c r="M23" s="357"/>
    </row>
    <row r="24" spans="2:33" ht="6" customHeight="1">
      <c r="B24" s="120"/>
      <c r="C24" s="120"/>
      <c r="D24" s="120"/>
      <c r="E24" s="120"/>
      <c r="F24" s="135"/>
      <c r="H24" s="355"/>
      <c r="I24" s="358"/>
      <c r="J24" s="358"/>
      <c r="K24" s="358"/>
      <c r="L24" s="358"/>
      <c r="M24" s="359"/>
    </row>
    <row r="25" spans="2:33" ht="13.7" customHeight="1">
      <c r="B25" s="132" t="s">
        <v>48</v>
      </c>
      <c r="C25" s="137" t="s">
        <v>45</v>
      </c>
      <c r="D25" s="137"/>
      <c r="E25" s="137"/>
      <c r="F25" s="138">
        <v>0.2881986483454233</v>
      </c>
    </row>
    <row r="26" spans="2:33" ht="13.7" customHeight="1">
      <c r="B26" s="135"/>
      <c r="C26" s="120"/>
      <c r="D26" s="120"/>
      <c r="E26" s="120"/>
      <c r="F26" s="310"/>
    </row>
    <row r="27" spans="2:33" ht="6" customHeight="1">
      <c r="F27" s="147"/>
    </row>
    <row r="28" spans="2:33" ht="13.7" customHeight="1">
      <c r="B28" s="148"/>
      <c r="C28" s="290" t="s">
        <v>78</v>
      </c>
      <c r="D28" s="291"/>
      <c r="E28" s="149"/>
      <c r="F28" s="150"/>
    </row>
    <row r="29" spans="2:33" ht="13.7" customHeight="1">
      <c r="B29" s="151"/>
      <c r="C29" s="288" t="s">
        <v>80</v>
      </c>
      <c r="D29" s="141"/>
      <c r="F29" s="152"/>
    </row>
    <row r="30" spans="2:33" ht="13.7" customHeight="1">
      <c r="B30" s="151"/>
      <c r="C30" s="287" t="s">
        <v>79</v>
      </c>
      <c r="D30" s="141"/>
      <c r="F30" s="152"/>
    </row>
    <row r="31" spans="2:33" ht="13.7" customHeight="1">
      <c r="B31" s="153"/>
      <c r="C31" s="289" t="s">
        <v>81</v>
      </c>
      <c r="D31" s="292"/>
      <c r="E31" s="139"/>
      <c r="F31" s="154"/>
    </row>
    <row r="32" spans="2:33" ht="13.7" customHeight="1">
      <c r="F32" s="147"/>
    </row>
    <row r="33" spans="2:6" ht="13.7" customHeight="1">
      <c r="C33" s="309" t="s">
        <v>213</v>
      </c>
      <c r="F33" s="147"/>
    </row>
    <row r="34" spans="2:6" ht="13.7" customHeight="1">
      <c r="C34" s="5"/>
      <c r="F34" s="147"/>
    </row>
    <row r="35" spans="2:6" ht="13.7" customHeight="1">
      <c r="C35" s="5"/>
      <c r="F35" s="147"/>
    </row>
    <row r="36" spans="2:6" ht="13.7" customHeight="1">
      <c r="F36" s="147"/>
    </row>
    <row r="37" spans="2:6" ht="12.75" customHeight="1">
      <c r="C37" s="155" t="s">
        <v>197</v>
      </c>
      <c r="D37" s="134"/>
      <c r="E37" s="134"/>
      <c r="F37" s="147"/>
    </row>
    <row r="38" spans="2:6" ht="12.75" customHeight="1">
      <c r="C38" s="134" t="s">
        <v>198</v>
      </c>
      <c r="D38" s="134"/>
      <c r="E38" s="134"/>
      <c r="F38" s="147"/>
    </row>
    <row r="39" spans="2:6" ht="12.75" customHeight="1">
      <c r="C39" s="134" t="s">
        <v>159</v>
      </c>
      <c r="D39" s="134"/>
      <c r="E39" s="134"/>
      <c r="F39" s="147"/>
    </row>
    <row r="40" spans="2:6">
      <c r="F40" s="147"/>
    </row>
    <row r="41" spans="2:6">
      <c r="B41" s="156" t="s">
        <v>49</v>
      </c>
      <c r="F41" s="147"/>
    </row>
    <row r="42" spans="2:6">
      <c r="B42" s="119" t="s">
        <v>53</v>
      </c>
      <c r="F42" s="147"/>
    </row>
    <row r="43" spans="2:6">
      <c r="B43" s="119" t="s">
        <v>24</v>
      </c>
      <c r="F43" s="147"/>
    </row>
    <row r="44" spans="2:6">
      <c r="B44" s="119" t="s">
        <v>25</v>
      </c>
    </row>
    <row r="45" spans="2:6" ht="6" customHeight="1"/>
    <row r="46" spans="2:6">
      <c r="B46" s="156" t="s">
        <v>23</v>
      </c>
    </row>
    <row r="47" spans="2:6" ht="38.1" customHeight="1">
      <c r="B47" s="381" t="s">
        <v>50</v>
      </c>
      <c r="C47" s="382"/>
      <c r="D47" s="382"/>
      <c r="E47" s="382"/>
      <c r="F47" s="383"/>
    </row>
    <row r="48" spans="2:6" ht="35.1" customHeight="1">
      <c r="B48" s="378" t="s">
        <v>54</v>
      </c>
      <c r="C48" s="379"/>
      <c r="D48" s="379"/>
      <c r="E48" s="379"/>
      <c r="F48" s="380"/>
    </row>
    <row r="49" spans="2:6" ht="24.95" customHeight="1">
      <c r="B49" s="381" t="s">
        <v>51</v>
      </c>
      <c r="C49" s="382"/>
      <c r="D49" s="382"/>
      <c r="E49" s="382"/>
      <c r="F49" s="383"/>
    </row>
    <row r="50" spans="2:6" ht="38.1" customHeight="1">
      <c r="B50" s="378" t="s">
        <v>55</v>
      </c>
      <c r="C50" s="379"/>
      <c r="D50" s="379"/>
      <c r="E50" s="379"/>
      <c r="F50" s="380"/>
    </row>
    <row r="51" spans="2:6" ht="38.1" customHeight="1">
      <c r="B51" s="381" t="s">
        <v>52</v>
      </c>
      <c r="C51" s="382"/>
      <c r="D51" s="382"/>
      <c r="E51" s="382"/>
      <c r="F51" s="383"/>
    </row>
    <row r="52" spans="2:6" ht="24.95" customHeight="1">
      <c r="B52" s="375" t="s">
        <v>56</v>
      </c>
      <c r="C52" s="376"/>
      <c r="D52" s="376"/>
      <c r="E52" s="376"/>
      <c r="F52" s="377"/>
    </row>
    <row r="53" spans="2:6" ht="50.1" customHeight="1">
      <c r="B53" s="378" t="s">
        <v>77</v>
      </c>
      <c r="C53" s="379"/>
      <c r="D53" s="379"/>
      <c r="E53" s="379"/>
      <c r="F53" s="380"/>
    </row>
  </sheetData>
  <mergeCells count="30">
    <mergeCell ref="B52:F52"/>
    <mergeCell ref="B53:F53"/>
    <mergeCell ref="B47:F47"/>
    <mergeCell ref="B48:F48"/>
    <mergeCell ref="B49:F49"/>
    <mergeCell ref="B50:F50"/>
    <mergeCell ref="B51:F51"/>
    <mergeCell ref="AG16:AG17"/>
    <mergeCell ref="H20:H21"/>
    <mergeCell ref="K20:M20"/>
    <mergeCell ref="B10:B11"/>
    <mergeCell ref="C10:C11"/>
    <mergeCell ref="D10:E10"/>
    <mergeCell ref="I13:I14"/>
    <mergeCell ref="AG13:AG14"/>
    <mergeCell ref="H13:H14"/>
    <mergeCell ref="H16:H17"/>
    <mergeCell ref="AF16:AF17"/>
    <mergeCell ref="W17:X17"/>
    <mergeCell ref="J20:J21"/>
    <mergeCell ref="R20:R21"/>
    <mergeCell ref="S20:S21"/>
    <mergeCell ref="T20:T21"/>
    <mergeCell ref="E2:F2"/>
    <mergeCell ref="B2:D3"/>
    <mergeCell ref="H23:H24"/>
    <mergeCell ref="I23:M24"/>
    <mergeCell ref="AE16:AE17"/>
    <mergeCell ref="I16:I17"/>
    <mergeCell ref="C8:F8"/>
  </mergeCells>
  <printOptions horizontalCentered="1"/>
  <pageMargins left="0.19685039370078741" right="0.19685039370078741" top="0.59055118110236227" bottom="0.19685039370078741" header="0.31496062992125984" footer="0.31496062992125984"/>
  <pageSetup paperSize="9"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/>
  <dimension ref="B1:AJ61"/>
  <sheetViews>
    <sheetView showGridLines="0" zoomScale="115" zoomScaleNormal="115" workbookViewId="0"/>
  </sheetViews>
  <sheetFormatPr defaultColWidth="9.140625" defaultRowHeight="12.75"/>
  <cols>
    <col min="1" max="1" width="2.7109375" style="7" customWidth="1"/>
    <col min="2" max="2" width="9.42578125" style="14" customWidth="1"/>
    <col min="3" max="3" width="75.7109375" style="15" customWidth="1"/>
    <col min="4" max="4" width="10.140625" style="16" bestFit="1" customWidth="1"/>
    <col min="5" max="5" width="13.85546875" style="53" customWidth="1"/>
    <col min="6" max="6" width="13.85546875" style="48" customWidth="1"/>
    <col min="7" max="7" width="14.5703125" style="17" customWidth="1"/>
    <col min="8" max="8" width="4.85546875" style="5" customWidth="1"/>
    <col min="9" max="9" width="12.42578125" style="4" customWidth="1"/>
    <col min="10" max="10" width="22.7109375" style="4" customWidth="1"/>
    <col min="11" max="12" width="19.7109375" style="4" customWidth="1"/>
    <col min="13" max="13" width="13.7109375" style="4" customWidth="1"/>
    <col min="14" max="16" width="11.5703125" style="4" customWidth="1"/>
    <col min="17" max="17" width="12.140625" style="8" customWidth="1"/>
    <col min="18" max="18" width="11.5703125" style="31" customWidth="1"/>
    <col min="19" max="19" width="11.5703125" style="8" customWidth="1"/>
    <col min="20" max="20" width="10.5703125" style="8" customWidth="1"/>
    <col min="21" max="21" width="10.140625" style="8" bestFit="1" customWidth="1"/>
    <col min="22" max="22" width="11.5703125" style="8" customWidth="1"/>
    <col min="23" max="23" width="11.28515625" style="8" bestFit="1" customWidth="1"/>
    <col min="24" max="24" width="11.5703125" style="8" customWidth="1"/>
    <col min="25" max="34" width="9.140625" style="8" customWidth="1"/>
    <col min="35" max="36" width="9.140625" style="7" customWidth="1"/>
    <col min="37" max="16384" width="9.140625" style="7"/>
  </cols>
  <sheetData>
    <row r="1" spans="2:36" ht="13.5" thickBot="1"/>
    <row r="2" spans="2:36" s="20" customFormat="1" ht="54.95" customHeight="1">
      <c r="B2" s="321" t="e">
        <v>#REF!</v>
      </c>
      <c r="C2" s="322"/>
      <c r="D2" s="67"/>
      <c r="E2" s="68"/>
      <c r="F2" s="69"/>
      <c r="G2" s="71"/>
      <c r="H2" s="50"/>
      <c r="I2" s="35"/>
      <c r="J2" s="35"/>
      <c r="K2" s="35"/>
      <c r="L2" s="35"/>
      <c r="M2" s="35"/>
      <c r="N2" s="35"/>
      <c r="O2" s="35"/>
      <c r="P2" s="35"/>
      <c r="R2" s="28"/>
    </row>
    <row r="3" spans="2:36" s="21" customFormat="1" ht="15" customHeight="1">
      <c r="B3" s="115" t="s">
        <v>148</v>
      </c>
      <c r="C3" s="65" t="e">
        <v>#REF!</v>
      </c>
      <c r="D3" s="46"/>
      <c r="E3" s="51"/>
      <c r="F3" s="388" t="e">
        <v>#REF!</v>
      </c>
      <c r="G3" s="389"/>
      <c r="H3" s="54"/>
      <c r="I3" s="36"/>
      <c r="J3" s="36"/>
      <c r="K3" s="36"/>
      <c r="L3" s="36"/>
      <c r="M3" s="36"/>
      <c r="N3" s="36"/>
      <c r="O3" s="36"/>
      <c r="P3" s="36"/>
      <c r="Q3" s="20"/>
      <c r="R3" s="29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2:36" s="21" customFormat="1" ht="15" customHeight="1" thickBot="1">
      <c r="B4" s="116" t="s">
        <v>147</v>
      </c>
      <c r="C4" s="66" t="e">
        <v>#REF!</v>
      </c>
      <c r="D4" s="70"/>
      <c r="E4" s="391" t="e">
        <v>#REF!</v>
      </c>
      <c r="F4" s="391"/>
      <c r="G4" s="392"/>
      <c r="H4" s="55"/>
      <c r="I4" s="36"/>
      <c r="J4" s="36"/>
      <c r="K4" s="36"/>
      <c r="L4" s="36"/>
      <c r="M4" s="36"/>
      <c r="N4" s="36"/>
      <c r="O4" s="36"/>
      <c r="P4" s="36"/>
      <c r="Q4" s="20"/>
      <c r="R4" s="29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2:36" s="25" customFormat="1" ht="6" customHeight="1" thickBot="1">
      <c r="B5" s="22"/>
      <c r="C5" s="23"/>
      <c r="D5" s="46"/>
      <c r="E5" s="51"/>
      <c r="F5" s="47"/>
      <c r="G5" s="24"/>
      <c r="H5" s="55"/>
      <c r="I5" s="37"/>
      <c r="J5" s="37"/>
      <c r="K5" s="37"/>
      <c r="L5" s="37"/>
      <c r="M5" s="37"/>
      <c r="N5" s="37"/>
      <c r="O5" s="37"/>
      <c r="P5" s="37"/>
      <c r="Q5" s="26"/>
      <c r="R5" s="30"/>
      <c r="S5" s="26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  <c r="AI5" s="390"/>
      <c r="AJ5" s="390"/>
    </row>
    <row r="6" spans="2:36" ht="16.5" thickBot="1">
      <c r="B6" s="318" t="s">
        <v>21</v>
      </c>
      <c r="C6" s="319"/>
      <c r="D6" s="319"/>
      <c r="E6" s="319"/>
      <c r="F6" s="319"/>
      <c r="G6" s="320"/>
      <c r="H6" s="56"/>
      <c r="I6" s="38"/>
      <c r="J6" s="39"/>
      <c r="K6" s="39"/>
      <c r="L6" s="39"/>
      <c r="M6" s="40"/>
      <c r="N6" s="40"/>
      <c r="O6" s="40"/>
      <c r="T6" s="390"/>
      <c r="U6" s="390"/>
      <c r="V6" s="390"/>
      <c r="W6" s="390"/>
      <c r="X6" s="390"/>
      <c r="Y6" s="390"/>
      <c r="Z6" s="390"/>
      <c r="AA6" s="390"/>
      <c r="AB6" s="390"/>
      <c r="AC6" s="390"/>
      <c r="AD6" s="390"/>
      <c r="AE6" s="390"/>
      <c r="AF6" s="390"/>
      <c r="AG6" s="390"/>
      <c r="AH6" s="390"/>
      <c r="AI6" s="390"/>
      <c r="AJ6" s="390"/>
    </row>
    <row r="7" spans="2:36" ht="6" customHeight="1" thickBot="1">
      <c r="B7" s="61"/>
      <c r="C7" s="61"/>
      <c r="D7" s="61"/>
      <c r="E7" s="61"/>
      <c r="F7" s="61"/>
      <c r="G7" s="61"/>
      <c r="H7" s="56"/>
      <c r="I7" s="38"/>
      <c r="J7" s="39"/>
      <c r="K7" s="39"/>
      <c r="L7" s="39"/>
      <c r="M7" s="40"/>
      <c r="N7" s="40"/>
      <c r="O7" s="4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</row>
    <row r="8" spans="2:36" ht="16.5" thickBot="1">
      <c r="B8" s="96">
        <v>1</v>
      </c>
      <c r="C8" s="114" t="e">
        <v>#REF!</v>
      </c>
      <c r="D8" s="93" t="s">
        <v>58</v>
      </c>
      <c r="E8" s="117" t="e">
        <v>#REF!</v>
      </c>
      <c r="F8" s="94"/>
      <c r="G8" s="95"/>
      <c r="H8" s="57"/>
      <c r="I8" s="38"/>
      <c r="J8" s="39"/>
      <c r="K8" s="34"/>
      <c r="L8" s="34"/>
      <c r="M8" s="41"/>
      <c r="N8" s="41"/>
      <c r="O8" s="41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2:36" s="8" customFormat="1" ht="6" customHeight="1" thickBot="1">
      <c r="B9" s="74"/>
      <c r="C9" s="76"/>
      <c r="D9" s="76"/>
      <c r="E9" s="76"/>
      <c r="F9" s="76"/>
      <c r="G9" s="76"/>
      <c r="H9" s="45"/>
      <c r="I9" s="39"/>
      <c r="J9" s="42"/>
      <c r="K9" s="42"/>
      <c r="L9" s="42"/>
      <c r="M9" s="4"/>
      <c r="N9" s="4"/>
      <c r="O9" s="4"/>
      <c r="P9" s="4"/>
      <c r="R9" s="31"/>
      <c r="U9" s="63"/>
      <c r="V9" s="63"/>
      <c r="W9" s="63"/>
      <c r="AI9" s="7"/>
      <c r="AJ9" s="7"/>
    </row>
    <row r="10" spans="2:36">
      <c r="B10" s="77" t="s">
        <v>6</v>
      </c>
      <c r="C10" s="78" t="s">
        <v>7</v>
      </c>
      <c r="D10" s="78" t="s">
        <v>1</v>
      </c>
      <c r="E10" s="79" t="s">
        <v>91</v>
      </c>
      <c r="F10" s="80" t="s">
        <v>92</v>
      </c>
      <c r="G10" s="81" t="s">
        <v>19</v>
      </c>
      <c r="H10" s="59"/>
      <c r="I10" s="73"/>
      <c r="J10" s="39"/>
      <c r="K10" s="39"/>
      <c r="L10" s="39"/>
      <c r="U10" s="63"/>
      <c r="V10" s="63"/>
      <c r="W10" s="63"/>
    </row>
    <row r="11" spans="2:36" s="8" customFormat="1" ht="6" customHeight="1" thickBot="1">
      <c r="B11" s="75"/>
      <c r="C11" s="72"/>
      <c r="D11" s="72"/>
      <c r="E11" s="72"/>
      <c r="F11" s="72"/>
      <c r="G11" s="72"/>
      <c r="H11" s="45"/>
      <c r="I11" s="73"/>
      <c r="J11" s="42"/>
      <c r="K11" s="42"/>
      <c r="L11" s="42"/>
      <c r="M11" s="4"/>
      <c r="N11" s="4"/>
      <c r="O11" s="4"/>
      <c r="P11" s="4"/>
      <c r="R11" s="31"/>
      <c r="U11" s="63"/>
      <c r="V11" s="63"/>
      <c r="W11" s="63"/>
      <c r="AI11" s="7"/>
      <c r="AJ11" s="7"/>
    </row>
    <row r="12" spans="2:36" ht="13.5" thickBot="1">
      <c r="B12" s="99" t="s">
        <v>2</v>
      </c>
      <c r="C12" s="98" t="s">
        <v>5</v>
      </c>
      <c r="D12" s="97"/>
      <c r="E12" s="97"/>
      <c r="F12" s="112" t="s">
        <v>76</v>
      </c>
      <c r="G12" s="113">
        <v>0.30003184946838268</v>
      </c>
      <c r="H12" s="45"/>
      <c r="I12" s="62"/>
      <c r="J12" s="39"/>
      <c r="K12" s="39"/>
      <c r="L12" s="39"/>
      <c r="U12" s="63"/>
      <c r="V12" s="63"/>
      <c r="W12" s="63"/>
    </row>
    <row r="13" spans="2:36" s="8" customFormat="1" ht="6" customHeight="1">
      <c r="B13" s="86"/>
      <c r="C13" s="64"/>
      <c r="D13" s="64"/>
      <c r="E13" s="64"/>
      <c r="F13" s="64"/>
      <c r="G13" s="64"/>
      <c r="H13" s="45"/>
      <c r="I13" s="73"/>
      <c r="J13" s="42"/>
      <c r="K13" s="42"/>
      <c r="L13" s="42"/>
      <c r="M13" s="4"/>
      <c r="N13" s="4"/>
      <c r="O13" s="4"/>
      <c r="P13" s="4"/>
      <c r="R13" s="31"/>
      <c r="U13" s="63"/>
      <c r="V13" s="63"/>
      <c r="W13" s="63"/>
      <c r="AI13" s="7"/>
      <c r="AJ13" s="7"/>
    </row>
    <row r="14" spans="2:36">
      <c r="B14" s="84" t="s">
        <v>59</v>
      </c>
      <c r="C14" s="100" t="s">
        <v>82</v>
      </c>
      <c r="D14" s="103" t="s">
        <v>20</v>
      </c>
      <c r="E14" s="104">
        <v>1</v>
      </c>
      <c r="F14" s="105">
        <v>14724</v>
      </c>
      <c r="G14" s="106">
        <f>TRUNC(E14*F14,2)</f>
        <v>14724</v>
      </c>
      <c r="H14" s="59"/>
      <c r="I14" s="39"/>
      <c r="J14" s="42"/>
      <c r="K14" s="42"/>
      <c r="L14" s="42"/>
      <c r="U14" s="63"/>
      <c r="V14" s="63"/>
      <c r="W14" s="63"/>
    </row>
    <row r="15" spans="2:36">
      <c r="B15" s="84" t="s">
        <v>60</v>
      </c>
      <c r="C15" s="100" t="s">
        <v>93</v>
      </c>
      <c r="D15" s="103" t="s">
        <v>20</v>
      </c>
      <c r="E15" s="104">
        <v>1</v>
      </c>
      <c r="F15" s="105">
        <f>(TRUNC(5000*(1+$G$12),2))*1</f>
        <v>6500.15</v>
      </c>
      <c r="G15" s="106">
        <f t="shared" ref="G15:G21" si="0">TRUNC(E15*F15,2)</f>
        <v>6500.15</v>
      </c>
      <c r="H15" s="59"/>
      <c r="I15" s="39"/>
      <c r="J15" s="42"/>
      <c r="K15" s="42"/>
      <c r="L15" s="42"/>
      <c r="U15" s="63"/>
      <c r="V15" s="63"/>
      <c r="W15" s="63"/>
    </row>
    <row r="16" spans="2:36">
      <c r="B16" s="84" t="s">
        <v>61</v>
      </c>
      <c r="C16" s="100" t="s">
        <v>94</v>
      </c>
      <c r="D16" s="103" t="s">
        <v>95</v>
      </c>
      <c r="E16" s="107">
        <f>900*12.3</f>
        <v>11070</v>
      </c>
      <c r="F16" s="105">
        <f>TRUNC(0.89*(1+$G$12),2)</f>
        <v>1.1499999999999999</v>
      </c>
      <c r="G16" s="106">
        <f t="shared" si="0"/>
        <v>12730.5</v>
      </c>
      <c r="H16" s="59"/>
      <c r="I16" s="39"/>
      <c r="J16" s="42"/>
      <c r="K16" s="42"/>
      <c r="L16" s="42"/>
      <c r="U16" s="63"/>
      <c r="V16" s="63"/>
      <c r="W16" s="63"/>
    </row>
    <row r="17" spans="2:36">
      <c r="B17" s="84" t="s">
        <v>62</v>
      </c>
      <c r="C17" s="100" t="s">
        <v>149</v>
      </c>
      <c r="D17" s="103" t="s">
        <v>20</v>
      </c>
      <c r="E17" s="107">
        <v>1</v>
      </c>
      <c r="F17" s="105">
        <v>1373.4099999999999</v>
      </c>
      <c r="G17" s="106">
        <f t="shared" si="0"/>
        <v>1373.41</v>
      </c>
      <c r="H17" s="59"/>
      <c r="I17" s="39"/>
      <c r="J17" s="42"/>
      <c r="K17" s="42"/>
      <c r="L17" s="42"/>
      <c r="U17" s="63"/>
      <c r="V17" s="63"/>
      <c r="W17" s="63"/>
    </row>
    <row r="18" spans="2:36">
      <c r="B18" s="84" t="s">
        <v>63</v>
      </c>
      <c r="C18" s="100" t="s">
        <v>96</v>
      </c>
      <c r="D18" s="103" t="s">
        <v>20</v>
      </c>
      <c r="E18" s="107">
        <v>1</v>
      </c>
      <c r="F18" s="105">
        <f>124230.045-15881.39</f>
        <v>108348.655</v>
      </c>
      <c r="G18" s="106">
        <f t="shared" si="0"/>
        <v>108348.65</v>
      </c>
      <c r="H18" s="59"/>
      <c r="I18" s="39"/>
      <c r="J18" s="42"/>
      <c r="K18" s="42"/>
      <c r="L18" s="42"/>
      <c r="U18" s="63"/>
      <c r="V18" s="63"/>
      <c r="W18" s="63"/>
    </row>
    <row r="19" spans="2:36">
      <c r="B19" s="84" t="s">
        <v>138</v>
      </c>
      <c r="C19" s="100" t="s">
        <v>65</v>
      </c>
      <c r="D19" s="103" t="s">
        <v>20</v>
      </c>
      <c r="E19" s="104">
        <v>1</v>
      </c>
      <c r="F19" s="105">
        <f>TRUNC(8*120*(1+$G$12),2)</f>
        <v>1248.03</v>
      </c>
      <c r="G19" s="106">
        <f t="shared" si="0"/>
        <v>1248.03</v>
      </c>
      <c r="H19" s="59"/>
      <c r="J19" s="42"/>
      <c r="K19" s="42"/>
      <c r="L19" s="42"/>
      <c r="U19" s="63"/>
      <c r="V19" s="63"/>
      <c r="W19" s="63"/>
    </row>
    <row r="20" spans="2:36">
      <c r="B20" s="84" t="s">
        <v>139</v>
      </c>
      <c r="C20" s="100" t="s">
        <v>64</v>
      </c>
      <c r="D20" s="103" t="s">
        <v>20</v>
      </c>
      <c r="E20" s="104">
        <v>1</v>
      </c>
      <c r="F20" s="105">
        <f>F14*0.5</f>
        <v>7362</v>
      </c>
      <c r="G20" s="106">
        <f>TRUNC(E20*F20,2)</f>
        <v>7362</v>
      </c>
      <c r="H20" s="59"/>
      <c r="J20" s="42"/>
      <c r="K20" s="42"/>
      <c r="L20" s="42"/>
      <c r="U20" s="63"/>
      <c r="V20" s="63"/>
      <c r="W20" s="63"/>
    </row>
    <row r="21" spans="2:36">
      <c r="B21" s="84" t="s">
        <v>150</v>
      </c>
      <c r="C21" s="100" t="s">
        <v>151</v>
      </c>
      <c r="D21" s="103" t="s">
        <v>20</v>
      </c>
      <c r="E21" s="104">
        <v>1</v>
      </c>
      <c r="F21" s="105"/>
      <c r="G21" s="106">
        <f t="shared" si="0"/>
        <v>0</v>
      </c>
      <c r="H21" s="59"/>
      <c r="I21" s="39"/>
      <c r="J21" s="42"/>
      <c r="K21" s="42"/>
      <c r="L21" s="42"/>
      <c r="U21" s="63"/>
      <c r="V21" s="63"/>
      <c r="W21" s="63"/>
    </row>
    <row r="22" spans="2:36">
      <c r="B22" s="82"/>
      <c r="C22" s="384" t="s">
        <v>57</v>
      </c>
      <c r="D22" s="393"/>
      <c r="E22" s="393"/>
      <c r="F22" s="394"/>
      <c r="G22" s="102">
        <f>SUM(G14:G21)</f>
        <v>152286.74</v>
      </c>
      <c r="H22" s="58"/>
      <c r="I22" s="39">
        <v>152280</v>
      </c>
      <c r="J22" s="42">
        <f>I22-G22</f>
        <v>-6.7399999999906868</v>
      </c>
      <c r="K22" s="42"/>
      <c r="L22" s="42"/>
      <c r="U22" s="63"/>
      <c r="V22" s="63"/>
      <c r="W22" s="63"/>
    </row>
    <row r="23" spans="2:36" s="8" customFormat="1" ht="6" customHeight="1" thickBot="1">
      <c r="B23" s="75"/>
      <c r="C23" s="72"/>
      <c r="D23" s="72"/>
      <c r="E23" s="72"/>
      <c r="F23" s="72"/>
      <c r="G23" s="72"/>
      <c r="H23" s="45"/>
      <c r="I23" s="39"/>
      <c r="J23" s="42"/>
      <c r="K23" s="42"/>
      <c r="L23" s="42"/>
      <c r="M23" s="4"/>
      <c r="N23" s="4"/>
      <c r="O23" s="4"/>
      <c r="P23" s="4"/>
      <c r="R23" s="31"/>
      <c r="U23" s="63"/>
      <c r="V23" s="63"/>
      <c r="W23" s="63"/>
      <c r="AI23" s="7"/>
      <c r="AJ23" s="7"/>
    </row>
    <row r="24" spans="2:36" ht="15" customHeight="1" thickBot="1">
      <c r="B24" s="99" t="s">
        <v>3</v>
      </c>
      <c r="C24" s="98" t="s">
        <v>98</v>
      </c>
      <c r="D24" s="97"/>
      <c r="E24" s="97"/>
      <c r="F24" s="112" t="s">
        <v>76</v>
      </c>
      <c r="G24" s="113">
        <v>0.16323475340228599</v>
      </c>
      <c r="H24" s="45"/>
      <c r="I24" s="39"/>
      <c r="J24" s="42"/>
      <c r="K24" s="42"/>
      <c r="L24" s="42"/>
      <c r="U24" s="63"/>
      <c r="V24" s="63"/>
      <c r="W24" s="63"/>
    </row>
    <row r="25" spans="2:36" s="8" customFormat="1" ht="6" customHeight="1">
      <c r="B25" s="86"/>
      <c r="C25" s="64"/>
      <c r="D25" s="64"/>
      <c r="E25" s="64"/>
      <c r="F25" s="64"/>
      <c r="G25" s="64"/>
      <c r="H25" s="45"/>
      <c r="I25" s="73"/>
      <c r="J25" s="42"/>
      <c r="K25" s="42"/>
      <c r="L25" s="42"/>
      <c r="M25" s="4"/>
      <c r="N25" s="4"/>
      <c r="O25" s="4"/>
      <c r="P25" s="4"/>
      <c r="R25" s="31"/>
      <c r="U25" s="63"/>
      <c r="V25" s="63"/>
      <c r="W25" s="63"/>
      <c r="AI25" s="7"/>
      <c r="AJ25" s="7"/>
    </row>
    <row r="26" spans="2:36">
      <c r="B26" s="84" t="s">
        <v>83</v>
      </c>
      <c r="C26" s="85" t="s">
        <v>97</v>
      </c>
      <c r="D26" s="108" t="s">
        <v>104</v>
      </c>
      <c r="E26" s="111">
        <v>1</v>
      </c>
      <c r="F26" s="109">
        <v>139456.27421599999</v>
      </c>
      <c r="G26" s="110">
        <f>TRUNC(E26*F26,2)</f>
        <v>139456.26999999999</v>
      </c>
      <c r="H26" s="59"/>
      <c r="I26" s="39"/>
      <c r="J26" s="42"/>
      <c r="K26" s="42"/>
      <c r="L26" s="42"/>
      <c r="U26" s="63"/>
      <c r="V26" s="63"/>
      <c r="W26" s="63"/>
    </row>
    <row r="27" spans="2:36">
      <c r="B27" s="84" t="s">
        <v>84</v>
      </c>
      <c r="C27" s="85" t="s">
        <v>118</v>
      </c>
      <c r="D27" s="108" t="s">
        <v>20</v>
      </c>
      <c r="E27" s="111">
        <v>2</v>
      </c>
      <c r="F27" s="109">
        <f>16000*(1+G24)</f>
        <v>18611.756054436577</v>
      </c>
      <c r="G27" s="110">
        <f t="shared" ref="G27:G48" si="1">TRUNC(E27*F27,2)</f>
        <v>37223.51</v>
      </c>
      <c r="H27" s="59"/>
      <c r="I27" s="39"/>
      <c r="J27" s="42"/>
      <c r="K27" s="42"/>
      <c r="L27" s="42"/>
      <c r="U27" s="63"/>
      <c r="V27" s="63"/>
      <c r="W27" s="63"/>
    </row>
    <row r="28" spans="2:36" ht="12.75" customHeight="1">
      <c r="B28" s="84" t="s">
        <v>85</v>
      </c>
      <c r="C28" s="85" t="s">
        <v>121</v>
      </c>
      <c r="D28" s="108" t="s">
        <v>122</v>
      </c>
      <c r="E28" s="111">
        <v>36</v>
      </c>
      <c r="F28" s="109">
        <f>1230.02*0.6</f>
        <v>738.01199999999994</v>
      </c>
      <c r="G28" s="110">
        <f t="shared" si="1"/>
        <v>26568.43</v>
      </c>
      <c r="H28" s="59"/>
      <c r="I28" s="39"/>
      <c r="J28" s="42"/>
      <c r="K28" s="42"/>
      <c r="L28" s="42"/>
      <c r="U28" s="63"/>
      <c r="V28" s="63"/>
      <c r="W28" s="63"/>
    </row>
    <row r="29" spans="2:36" ht="18" customHeight="1">
      <c r="B29" s="84" t="s">
        <v>86</v>
      </c>
      <c r="C29" s="85" t="s">
        <v>100</v>
      </c>
      <c r="D29" s="108" t="s">
        <v>20</v>
      </c>
      <c r="E29" s="111">
        <v>1</v>
      </c>
      <c r="F29" s="109">
        <f>6202.17+642.08</f>
        <v>6844.25</v>
      </c>
      <c r="G29" s="110">
        <f t="shared" si="1"/>
        <v>6844.25</v>
      </c>
      <c r="H29" s="59"/>
      <c r="I29" s="39"/>
      <c r="J29" s="42"/>
      <c r="K29" s="42"/>
      <c r="L29" s="42"/>
      <c r="U29" s="63"/>
      <c r="V29" s="63"/>
      <c r="W29" s="63"/>
    </row>
    <row r="30" spans="2:36">
      <c r="B30" s="84" t="s">
        <v>87</v>
      </c>
      <c r="C30" s="85" t="s">
        <v>140</v>
      </c>
      <c r="D30" s="108" t="s">
        <v>104</v>
      </c>
      <c r="E30" s="111">
        <v>1</v>
      </c>
      <c r="F30" s="109">
        <f>380*(1+G24)</f>
        <v>442.02920629286865</v>
      </c>
      <c r="G30" s="110">
        <f t="shared" si="1"/>
        <v>442.02</v>
      </c>
      <c r="H30" s="59"/>
      <c r="I30" s="39"/>
      <c r="J30" s="42"/>
      <c r="K30" s="42"/>
      <c r="L30" s="42"/>
      <c r="U30" s="63"/>
      <c r="V30" s="63"/>
      <c r="W30" s="63"/>
    </row>
    <row r="31" spans="2:36">
      <c r="B31" s="84" t="s">
        <v>88</v>
      </c>
      <c r="C31" s="85" t="s">
        <v>99</v>
      </c>
      <c r="D31" s="108" t="s">
        <v>104</v>
      </c>
      <c r="E31" s="111">
        <v>1</v>
      </c>
      <c r="F31" s="109">
        <f>582.52*(1+G24)</f>
        <v>677.60750855189963</v>
      </c>
      <c r="G31" s="110">
        <f t="shared" si="1"/>
        <v>677.6</v>
      </c>
      <c r="H31" s="59"/>
      <c r="I31" s="39"/>
      <c r="J31" s="42"/>
      <c r="K31" s="42"/>
      <c r="L31" s="42"/>
      <c r="U31" s="63"/>
      <c r="V31" s="63"/>
      <c r="W31" s="63"/>
    </row>
    <row r="32" spans="2:36">
      <c r="B32" s="84" t="s">
        <v>89</v>
      </c>
      <c r="C32" s="85" t="s">
        <v>141</v>
      </c>
      <c r="D32" s="108" t="s">
        <v>20</v>
      </c>
      <c r="E32" s="111">
        <v>2</v>
      </c>
      <c r="F32" s="109">
        <f>189.9*(1+G24)</f>
        <v>220.89827967109412</v>
      </c>
      <c r="G32" s="110">
        <f t="shared" si="1"/>
        <v>441.79</v>
      </c>
      <c r="H32" s="59"/>
      <c r="I32" s="39"/>
      <c r="J32" s="42"/>
      <c r="K32" s="42"/>
      <c r="L32" s="42"/>
      <c r="U32" s="63"/>
      <c r="V32" s="63"/>
      <c r="W32" s="63"/>
    </row>
    <row r="33" spans="2:23">
      <c r="B33" s="84" t="s">
        <v>90</v>
      </c>
      <c r="C33" s="85" t="s">
        <v>142</v>
      </c>
      <c r="D33" s="108" t="s">
        <v>20</v>
      </c>
      <c r="E33" s="111">
        <v>2</v>
      </c>
      <c r="F33" s="109">
        <f>54*(1+G24)</f>
        <v>62.814676683723441</v>
      </c>
      <c r="G33" s="110">
        <f t="shared" si="1"/>
        <v>125.62</v>
      </c>
      <c r="H33" s="59"/>
      <c r="I33" s="39"/>
      <c r="J33" s="42"/>
      <c r="K33" s="42"/>
      <c r="L33" s="42"/>
      <c r="U33" s="63"/>
      <c r="V33" s="63"/>
      <c r="W33" s="63"/>
    </row>
    <row r="34" spans="2:23">
      <c r="B34" s="84" t="s">
        <v>123</v>
      </c>
      <c r="C34" s="85" t="s">
        <v>106</v>
      </c>
      <c r="D34" s="108" t="s">
        <v>20</v>
      </c>
      <c r="E34" s="111">
        <v>4</v>
      </c>
      <c r="F34" s="109">
        <f>54*(1+G24)</f>
        <v>62.814676683723441</v>
      </c>
      <c r="G34" s="110">
        <f t="shared" si="1"/>
        <v>251.25</v>
      </c>
      <c r="H34" s="59"/>
      <c r="I34" s="39"/>
      <c r="J34" s="42"/>
      <c r="K34" s="42"/>
      <c r="L34" s="42"/>
      <c r="U34" s="63"/>
      <c r="V34" s="63"/>
      <c r="W34" s="63"/>
    </row>
    <row r="35" spans="2:23">
      <c r="B35" s="84" t="s">
        <v>124</v>
      </c>
      <c r="C35" s="85" t="s">
        <v>120</v>
      </c>
      <c r="D35" s="108" t="s">
        <v>20</v>
      </c>
      <c r="E35" s="111">
        <v>4</v>
      </c>
      <c r="F35" s="109">
        <f>43.9*(1+G24)</f>
        <v>51.066005674360355</v>
      </c>
      <c r="G35" s="110">
        <f t="shared" si="1"/>
        <v>204.26</v>
      </c>
      <c r="H35" s="59"/>
      <c r="I35" s="39"/>
      <c r="J35" s="42"/>
      <c r="K35" s="42"/>
      <c r="L35" s="42"/>
      <c r="U35" s="63"/>
      <c r="V35" s="63"/>
      <c r="W35" s="63"/>
    </row>
    <row r="36" spans="2:23">
      <c r="B36" s="84" t="s">
        <v>125</v>
      </c>
      <c r="C36" s="85" t="s">
        <v>107</v>
      </c>
      <c r="D36" s="108" t="s">
        <v>20</v>
      </c>
      <c r="E36" s="111">
        <v>3</v>
      </c>
      <c r="F36" s="109">
        <f>77.3*(1+G24)</f>
        <v>89.918046437996708</v>
      </c>
      <c r="G36" s="110">
        <f t="shared" si="1"/>
        <v>269.75</v>
      </c>
      <c r="H36" s="59"/>
      <c r="I36" s="39"/>
      <c r="J36" s="42"/>
      <c r="K36" s="42"/>
      <c r="L36" s="42"/>
      <c r="U36" s="63"/>
      <c r="V36" s="63"/>
      <c r="W36" s="63"/>
    </row>
    <row r="37" spans="2:23">
      <c r="B37" s="84" t="s">
        <v>126</v>
      </c>
      <c r="C37" s="85" t="s">
        <v>108</v>
      </c>
      <c r="D37" s="108" t="s">
        <v>20</v>
      </c>
      <c r="E37" s="111">
        <v>6</v>
      </c>
      <c r="F37" s="109">
        <f>14.5*(1+G24)</f>
        <v>16.866903924333148</v>
      </c>
      <c r="G37" s="110">
        <f t="shared" si="1"/>
        <v>101.2</v>
      </c>
      <c r="H37" s="59"/>
      <c r="I37" s="39"/>
      <c r="J37" s="42"/>
      <c r="K37" s="42"/>
      <c r="L37" s="42"/>
      <c r="U37" s="63"/>
      <c r="V37" s="63"/>
      <c r="W37" s="63"/>
    </row>
    <row r="38" spans="2:23">
      <c r="B38" s="84" t="s">
        <v>127</v>
      </c>
      <c r="C38" s="85" t="s">
        <v>112</v>
      </c>
      <c r="D38" s="108" t="s">
        <v>20</v>
      </c>
      <c r="E38" s="111">
        <v>6</v>
      </c>
      <c r="F38" s="109">
        <f>14.5*(1+G24)</f>
        <v>16.866903924333148</v>
      </c>
      <c r="G38" s="110">
        <f t="shared" si="1"/>
        <v>101.2</v>
      </c>
      <c r="H38" s="59"/>
      <c r="I38" s="39"/>
      <c r="J38" s="42"/>
      <c r="K38" s="42"/>
      <c r="L38" s="42"/>
      <c r="U38" s="63"/>
      <c r="V38" s="63"/>
      <c r="W38" s="63"/>
    </row>
    <row r="39" spans="2:23">
      <c r="B39" s="84" t="s">
        <v>128</v>
      </c>
      <c r="C39" s="85" t="s">
        <v>109</v>
      </c>
      <c r="D39" s="108" t="s">
        <v>102</v>
      </c>
      <c r="E39" s="111">
        <v>5</v>
      </c>
      <c r="F39" s="109">
        <f>46.73*(1+G24)</f>
        <v>54.357960026488819</v>
      </c>
      <c r="G39" s="110">
        <f t="shared" si="1"/>
        <v>271.77999999999997</v>
      </c>
      <c r="H39" s="59"/>
      <c r="I39" s="39"/>
      <c r="J39" s="42"/>
      <c r="K39" s="42"/>
      <c r="L39" s="42"/>
      <c r="U39" s="63"/>
      <c r="V39" s="63"/>
      <c r="W39" s="63"/>
    </row>
    <row r="40" spans="2:23">
      <c r="B40" s="84" t="s">
        <v>129</v>
      </c>
      <c r="C40" s="85" t="s">
        <v>110</v>
      </c>
      <c r="D40" s="108" t="s">
        <v>102</v>
      </c>
      <c r="E40" s="111">
        <v>3</v>
      </c>
      <c r="F40" s="109">
        <f>F39</f>
        <v>54.357960026488819</v>
      </c>
      <c r="G40" s="110">
        <f t="shared" si="1"/>
        <v>163.07</v>
      </c>
      <c r="H40" s="59"/>
      <c r="I40" s="39"/>
      <c r="J40" s="42"/>
      <c r="K40" s="42"/>
      <c r="L40" s="42"/>
      <c r="U40" s="63"/>
      <c r="V40" s="63"/>
      <c r="W40" s="63"/>
    </row>
    <row r="41" spans="2:23">
      <c r="B41" s="84" t="s">
        <v>130</v>
      </c>
      <c r="C41" s="85" t="s">
        <v>111</v>
      </c>
      <c r="D41" s="108" t="s">
        <v>102</v>
      </c>
      <c r="E41" s="111">
        <v>3</v>
      </c>
      <c r="F41" s="109">
        <f>79.32*(1+G24)</f>
        <v>92.267780639869315</v>
      </c>
      <c r="G41" s="110">
        <f t="shared" si="1"/>
        <v>276.8</v>
      </c>
      <c r="H41" s="59"/>
      <c r="I41" s="39"/>
      <c r="J41" s="42"/>
      <c r="K41" s="42"/>
      <c r="L41" s="42"/>
      <c r="U41" s="63"/>
      <c r="V41" s="63"/>
      <c r="W41" s="63"/>
    </row>
    <row r="42" spans="2:23">
      <c r="B42" s="84" t="s">
        <v>131</v>
      </c>
      <c r="C42" s="85" t="s">
        <v>113</v>
      </c>
      <c r="D42" s="108" t="s">
        <v>103</v>
      </c>
      <c r="E42" s="111">
        <v>30</v>
      </c>
      <c r="F42" s="109">
        <f>35.3*(1+G24)</f>
        <v>41.062186795100693</v>
      </c>
      <c r="G42" s="110">
        <f t="shared" si="1"/>
        <v>1231.8599999999999</v>
      </c>
      <c r="H42" s="59"/>
      <c r="I42" s="39"/>
      <c r="J42" s="42"/>
      <c r="K42" s="42"/>
      <c r="L42" s="42"/>
      <c r="U42" s="63"/>
      <c r="V42" s="63"/>
      <c r="W42" s="63"/>
    </row>
    <row r="43" spans="2:23">
      <c r="B43" s="84" t="s">
        <v>132</v>
      </c>
      <c r="C43" s="85" t="s">
        <v>114</v>
      </c>
      <c r="D43" s="108" t="s">
        <v>103</v>
      </c>
      <c r="E43" s="111">
        <v>100</v>
      </c>
      <c r="F43" s="109">
        <f>84.75*(1+G24)</f>
        <v>98.584145350843741</v>
      </c>
      <c r="G43" s="110">
        <f t="shared" si="1"/>
        <v>9858.41</v>
      </c>
      <c r="H43" s="59"/>
      <c r="I43" s="39"/>
      <c r="J43" s="42"/>
      <c r="K43" s="42"/>
      <c r="L43" s="42"/>
      <c r="U43" s="63"/>
      <c r="V43" s="63"/>
      <c r="W43" s="63"/>
    </row>
    <row r="44" spans="2:23">
      <c r="B44" s="84" t="s">
        <v>133</v>
      </c>
      <c r="C44" s="85" t="s">
        <v>101</v>
      </c>
      <c r="D44" s="108" t="s">
        <v>103</v>
      </c>
      <c r="E44" s="111">
        <v>300</v>
      </c>
      <c r="F44" s="109">
        <f>8.95*(1+G24)</f>
        <v>10.410951042950458</v>
      </c>
      <c r="G44" s="110">
        <f t="shared" si="1"/>
        <v>3123.28</v>
      </c>
      <c r="H44" s="59"/>
      <c r="I44" s="39"/>
      <c r="J44" s="42"/>
      <c r="K44" s="42"/>
      <c r="L44" s="42"/>
      <c r="U44" s="63"/>
      <c r="V44" s="63"/>
      <c r="W44" s="63"/>
    </row>
    <row r="45" spans="2:23">
      <c r="B45" s="84" t="s">
        <v>134</v>
      </c>
      <c r="C45" s="85" t="s">
        <v>105</v>
      </c>
      <c r="D45" s="108" t="s">
        <v>103</v>
      </c>
      <c r="E45" s="111">
        <v>30</v>
      </c>
      <c r="F45" s="109">
        <f>10.65*(1+G24)</f>
        <v>12.388450123734346</v>
      </c>
      <c r="G45" s="110">
        <f t="shared" si="1"/>
        <v>371.65</v>
      </c>
      <c r="H45" s="59"/>
      <c r="I45" s="39"/>
      <c r="J45" s="42"/>
      <c r="K45" s="42"/>
      <c r="L45" s="42"/>
      <c r="U45" s="63"/>
      <c r="V45" s="63"/>
      <c r="W45" s="63"/>
    </row>
    <row r="46" spans="2:23">
      <c r="B46" s="84" t="s">
        <v>135</v>
      </c>
      <c r="C46" s="85" t="s">
        <v>115</v>
      </c>
      <c r="D46" s="108" t="s">
        <v>104</v>
      </c>
      <c r="E46" s="111">
        <v>1</v>
      </c>
      <c r="F46" s="109">
        <f>106.18*(1+G24)</f>
        <v>123.51226611625474</v>
      </c>
      <c r="G46" s="110">
        <f t="shared" si="1"/>
        <v>123.51</v>
      </c>
      <c r="H46" s="59"/>
      <c r="I46" s="39"/>
      <c r="J46" s="42"/>
      <c r="K46" s="42"/>
      <c r="L46" s="42"/>
      <c r="U46" s="63"/>
      <c r="V46" s="63"/>
      <c r="W46" s="63"/>
    </row>
    <row r="47" spans="2:23">
      <c r="B47" s="84" t="s">
        <v>136</v>
      </c>
      <c r="C47" s="85" t="s">
        <v>116</v>
      </c>
      <c r="D47" s="108" t="s">
        <v>104</v>
      </c>
      <c r="E47" s="111">
        <v>1</v>
      </c>
      <c r="F47" s="109">
        <f>206.18*(1+G24)</f>
        <v>239.83574145648333</v>
      </c>
      <c r="G47" s="110">
        <f t="shared" si="1"/>
        <v>239.83</v>
      </c>
      <c r="H47" s="59"/>
      <c r="I47" s="39"/>
      <c r="J47" s="42"/>
      <c r="K47" s="42"/>
      <c r="L47" s="42"/>
      <c r="U47" s="63"/>
      <c r="V47" s="63"/>
      <c r="W47" s="63"/>
    </row>
    <row r="48" spans="2:23">
      <c r="B48" s="84" t="s">
        <v>137</v>
      </c>
      <c r="C48" s="85" t="s">
        <v>117</v>
      </c>
      <c r="D48" s="108" t="s">
        <v>102</v>
      </c>
      <c r="E48" s="111">
        <v>1</v>
      </c>
      <c r="F48" s="109">
        <f>46.7*(1+G24)</f>
        <v>54.323062983886757</v>
      </c>
      <c r="G48" s="110">
        <f t="shared" si="1"/>
        <v>54.32</v>
      </c>
      <c r="H48" s="59"/>
      <c r="I48" s="39"/>
      <c r="J48" s="42"/>
      <c r="K48" s="42"/>
      <c r="L48" s="42"/>
      <c r="U48" s="63"/>
      <c r="V48" s="63"/>
      <c r="W48" s="63"/>
    </row>
    <row r="49" spans="2:36" s="8" customFormat="1">
      <c r="B49" s="9"/>
      <c r="C49" s="11" t="s">
        <v>66</v>
      </c>
      <c r="D49" s="33"/>
      <c r="E49" s="52"/>
      <c r="F49" s="49"/>
      <c r="G49" s="10"/>
      <c r="H49" s="59"/>
      <c r="I49" s="44"/>
      <c r="J49" s="42"/>
      <c r="K49" s="42"/>
      <c r="L49" s="42"/>
      <c r="M49" s="4"/>
      <c r="N49" s="4"/>
      <c r="O49" s="4"/>
      <c r="P49" s="4"/>
      <c r="R49" s="31"/>
      <c r="U49" s="63"/>
      <c r="V49" s="63"/>
      <c r="W49" s="63"/>
      <c r="AI49" s="7"/>
      <c r="AJ49" s="7"/>
    </row>
    <row r="50" spans="2:36" s="8" customFormat="1">
      <c r="B50" s="82"/>
      <c r="C50" s="384" t="s">
        <v>119</v>
      </c>
      <c r="D50" s="384"/>
      <c r="E50" s="384"/>
      <c r="F50" s="385"/>
      <c r="G50" s="12">
        <f>SUM(G26:G48)</f>
        <v>228421.66</v>
      </c>
      <c r="H50" s="58"/>
      <c r="I50" s="39"/>
      <c r="J50" s="42"/>
      <c r="K50" s="42"/>
      <c r="L50" s="42"/>
      <c r="M50" s="4"/>
      <c r="N50" s="4"/>
      <c r="O50" s="4"/>
      <c r="P50" s="4"/>
      <c r="R50" s="31"/>
      <c r="U50" s="63"/>
      <c r="V50" s="63"/>
      <c r="W50" s="63"/>
      <c r="AI50" s="7"/>
      <c r="AJ50" s="7"/>
    </row>
    <row r="51" spans="2:36" s="8" customFormat="1" ht="6" customHeight="1" thickBot="1">
      <c r="B51" s="87"/>
      <c r="C51" s="88"/>
      <c r="D51" s="89"/>
      <c r="E51" s="90"/>
      <c r="F51" s="91"/>
      <c r="G51" s="92"/>
      <c r="H51" s="59"/>
      <c r="I51" s="39"/>
      <c r="J51" s="32"/>
      <c r="K51" s="43"/>
      <c r="L51" s="42"/>
      <c r="M51" s="4"/>
      <c r="N51" s="4"/>
      <c r="O51" s="4"/>
      <c r="P51" s="4"/>
      <c r="R51" s="31"/>
      <c r="U51" s="63"/>
      <c r="V51" s="63"/>
      <c r="W51" s="63"/>
      <c r="AI51" s="7"/>
      <c r="AJ51" s="7"/>
    </row>
    <row r="52" spans="2:36" s="8" customFormat="1" ht="13.5" thickBot="1">
      <c r="B52" s="83"/>
      <c r="C52" s="386" t="s">
        <v>8</v>
      </c>
      <c r="D52" s="386"/>
      <c r="E52" s="386"/>
      <c r="F52" s="387"/>
      <c r="G52" s="13">
        <f>G22+G50</f>
        <v>380708.4</v>
      </c>
      <c r="H52" s="58"/>
      <c r="I52" s="101" t="e">
        <f>#REF!*4050</f>
        <v>#REF!</v>
      </c>
      <c r="J52" s="42" t="e">
        <f>G52-I52</f>
        <v>#REF!</v>
      </c>
      <c r="K52" s="42"/>
      <c r="L52" s="42"/>
      <c r="M52" s="4"/>
      <c r="N52" s="4"/>
      <c r="O52" s="4"/>
      <c r="P52" s="4"/>
      <c r="R52" s="31"/>
      <c r="U52" s="63"/>
      <c r="V52" s="63"/>
      <c r="W52" s="63"/>
      <c r="AI52" s="7"/>
      <c r="AJ52" s="7"/>
    </row>
    <row r="55" spans="2:36">
      <c r="C55" s="5" t="e">
        <v>#REF!</v>
      </c>
    </row>
    <row r="56" spans="2:36">
      <c r="C56" s="5"/>
    </row>
    <row r="57" spans="2:36">
      <c r="C57" s="5"/>
    </row>
    <row r="58" spans="2:36" ht="15">
      <c r="C58" s="119"/>
    </row>
    <row r="59" spans="2:36" ht="12.95" customHeight="1">
      <c r="C59" s="155" t="e">
        <v>#REF!</v>
      </c>
    </row>
    <row r="60" spans="2:36" ht="12.95" customHeight="1">
      <c r="C60" s="134" t="e">
        <v>#REF!</v>
      </c>
    </row>
    <row r="61" spans="2:36" ht="12.95" customHeight="1">
      <c r="C61" s="134" t="e">
        <v>#REF!</v>
      </c>
    </row>
  </sheetData>
  <mergeCells count="9">
    <mergeCell ref="C50:F50"/>
    <mergeCell ref="C52:F52"/>
    <mergeCell ref="B2:C2"/>
    <mergeCell ref="F3:G3"/>
    <mergeCell ref="T5:AJ5"/>
    <mergeCell ref="B6:G6"/>
    <mergeCell ref="T6:AJ6"/>
    <mergeCell ref="E4:G4"/>
    <mergeCell ref="C22:F22"/>
  </mergeCells>
  <printOptions horizontalCentered="1"/>
  <pageMargins left="0.19685039370078741" right="0.19685039370078741" top="0.78740157480314965" bottom="0.19685039370078741" header="0.31496062992125984" footer="0.31496062992125984"/>
  <pageSetup paperSize="9" fitToHeight="0" orientation="landscape" r:id="rId1"/>
  <rowBreaks count="1" manualBreakCount="1">
    <brk id="39" min="1" max="6" man="1"/>
  </rowBreaks>
  <ignoredErrors>
    <ignoredError sqref="F16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77A2692185124B9113497B836C856B" ma:contentTypeVersion="18" ma:contentTypeDescription="Crie um novo documento." ma:contentTypeScope="" ma:versionID="38c058c562f7dd347c73ba2df8236062">
  <xsd:schema xmlns:xsd="http://www.w3.org/2001/XMLSchema" xmlns:xs="http://www.w3.org/2001/XMLSchema" xmlns:p="http://schemas.microsoft.com/office/2006/metadata/properties" xmlns:ns3="5136e5fb-ba5c-4451-8a1e-37d3cf17d438" xmlns:ns4="a28a5a1e-3167-4491-bee1-9e0b8e13126a" targetNamespace="http://schemas.microsoft.com/office/2006/metadata/properties" ma:root="true" ma:fieldsID="e7f85fbcd5aa6de675bd32307d0be078" ns3:_="" ns4:_="">
    <xsd:import namespace="5136e5fb-ba5c-4451-8a1e-37d3cf17d438"/>
    <xsd:import namespace="a28a5a1e-3167-4491-bee1-9e0b8e13126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Locatio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6e5fb-ba5c-4451-8a1e-37d3cf17d43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8a5a1e-3167-4491-bee1-9e0b8e1312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AutoTags" ma:index="15" nillable="true" ma:displayName="MediaServiceAutoTags" ma:internalName="MediaServiceAutoTags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44C294-1E1C-4986-B804-72BB86487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36e5fb-ba5c-4451-8a1e-37d3cf17d438"/>
    <ds:schemaRef ds:uri="a28a5a1e-3167-4491-bee1-9e0b8e1312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B45D7B-8673-49B5-9763-D905BECC8F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 Resumo Custos</vt:lpstr>
      <vt:lpstr>Cronograma</vt:lpstr>
      <vt:lpstr>BDI</vt:lpstr>
      <vt:lpstr>Composição Custos - Aberto</vt:lpstr>
    </vt:vector>
  </TitlesOfParts>
  <Company>TCU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x91333768591</dc:creator>
  <cp:lastModifiedBy>Usuario</cp:lastModifiedBy>
  <cp:lastPrinted>2023-10-02T20:13:25Z</cp:lastPrinted>
  <dcterms:created xsi:type="dcterms:W3CDTF">2014-06-06T12:24:30Z</dcterms:created>
  <dcterms:modified xsi:type="dcterms:W3CDTF">2024-07-30T17:23:17Z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0x0101009177A2692185124B9113497B836C856B</vt:lpwstr>
  </property>
  <property fmtid="{D5CDD505-2E9C-101B-9397-08002B2CF9AE}" pid="3" name="_activity">
    <vt:lpwstr/>
  </property>
</Properties>
</file>