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aPastaDeTrabalho"/>
  <mc:AlternateContent xmlns:mc="http://schemas.openxmlformats.org/markup-compatibility/2006">
    <mc:Choice Requires="x15">
      <x15ac:absPath xmlns:x15ac="http://schemas.microsoft.com/office/spreadsheetml/2010/11/ac" url="P:\ENGELUGA\Clientes\Ribas do Rio Pardo\2024\PONTO DE ONIBUS\ORÇAMENTO\PLANILHA ORÇAMENTÁRIA\"/>
    </mc:Choice>
  </mc:AlternateContent>
  <xr:revisionPtr revIDLastSave="0" documentId="13_ncr:1_{34619BA7-E75E-4EE7-90B5-CFBFED2266ED}" xr6:coauthVersionLast="47" xr6:coauthVersionMax="47" xr10:uidLastSave="{00000000-0000-0000-0000-000000000000}"/>
  <bookViews>
    <workbookView xWindow="28680" yWindow="-120" windowWidth="29040" windowHeight="15720" firstSheet="4" activeTab="4" xr2:uid="{BC170C8B-5F1C-41F2-9E56-23DCDDF9F7DD}"/>
  </bookViews>
  <sheets>
    <sheet name="IMAGENS" sheetId="34" state="hidden" r:id="rId1"/>
    <sheet name="REFERENCIA" sheetId="33" state="hidden" r:id="rId2"/>
    <sheet name="DADOS" sheetId="32" state="hidden" r:id="rId3"/>
    <sheet name="CHECK-LIST" sheetId="50" state="hidden" r:id="rId4"/>
    <sheet name="QUADRO RESUMO" sheetId="51" r:id="rId5"/>
    <sheet name="RELEVÂNCIA" sheetId="52" r:id="rId6"/>
    <sheet name="ORÇAMENTO_N DES" sheetId="12" r:id="rId7"/>
    <sheet name="GASES MEDICINAIS" sheetId="45" state="hidden" r:id="rId8"/>
    <sheet name="MEMORIA DE CALCULO AT" sheetId="37" r:id="rId9"/>
    <sheet name="BANCO DADOS ARQ" sheetId="39" state="hidden" r:id="rId10"/>
    <sheet name="COTAÇÕE" sheetId="44" state="hidden" r:id="rId11"/>
    <sheet name="COMPOSIÇÃO" sheetId="49" r:id="rId12"/>
    <sheet name="COTAÇÕES" sheetId="46" state="hidden" r:id="rId13"/>
    <sheet name="CRONOGRAMA DES" sheetId="14" r:id="rId14"/>
    <sheet name="COTAÇÕES XXX" sheetId="43" state="hidden" r:id="rId15"/>
    <sheet name="CRONOGRAMA S DES" sheetId="47" state="hidden" r:id="rId16"/>
    <sheet name="BDI S DES " sheetId="42" r:id="rId17"/>
    <sheet name="BDI S DES" sheetId="48" state="hidden" r:id="rId18"/>
  </sheets>
  <definedNames>
    <definedName name="_000____VERGA_PORTA_GERAL" localSheetId="9">'BANCO DADOS ARQ'!$B$8:$E$17</definedName>
    <definedName name="_000____VERGA_PORTA_GERAL_1" localSheetId="9">'BANCO DADOS ARQ'!#REF!</definedName>
    <definedName name="_000___TABELA_DE_AMBIENTES_GERAL" localSheetId="9">'BANCO DADOS ARQ'!$B$25:$G$60</definedName>
    <definedName name="_000___TABELA_DE_AMBIENTES_GERAL_1" localSheetId="9">'BANCO DADOS ARQ'!#REF!</definedName>
    <definedName name="_000___VERGA_CONTRAVERGA_JANELAS_GERAL" localSheetId="9">'BANCO DADOS ARQ'!$B$91:$E$98</definedName>
    <definedName name="_000___VERGA_CONTRAVERGA_JANELAS_GERAL_1" localSheetId="9">'BANCO DADOS ARQ'!#REF!</definedName>
    <definedName name="_003___JANELAS" localSheetId="9">'BANCO DADOS ARQ'!$B$107:$H$113</definedName>
    <definedName name="_003___JANELAS_1" localSheetId="9">'BANCO DADOS ARQ'!#REF!</definedName>
    <definedName name="_003___PEITORIL_DE_GRANITO_PARA_JANELAS" localSheetId="9">'BANCO DADOS ARQ'!$B$810:$E$819</definedName>
    <definedName name="_003___PEITORIL_DE_GRANITO_PARA_JANELAS_1" localSheetId="9">'BANCO DADOS ARQ'!#REF!</definedName>
    <definedName name="_003___PORTAS" localSheetId="9">'BANCO DADOS ARQ'!$B$124:$G$135</definedName>
    <definedName name="_003___PORTAS_1" localSheetId="9">'BANCO DADOS ARQ'!#REF!</definedName>
    <definedName name="_004___ARGAMASSA_BARITADA" localSheetId="9">'BANCO DADOS ARQ'!#REF!</definedName>
    <definedName name="_004___CHAPISCO_TETO" localSheetId="9">'BANCO DADOS ARQ'!$B$144:$C$203</definedName>
    <definedName name="_004___CHAPISCO_TETO_1" localSheetId="9">'BANCO DADOS ARQ'!#REF!</definedName>
    <definedName name="_004___COBERTURA" localSheetId="9">'BANCO DADOS ARQ'!$B$355:$H$359</definedName>
    <definedName name="_004___COBERTURA_1" localSheetId="9">'BANCO DADOS ARQ'!#REF!</definedName>
    <definedName name="_004___CUMEEIRA_EM_FIBROCIMENTO" localSheetId="9">'BANCO DADOS ARQ'!$B$363:$C$366</definedName>
    <definedName name="_004___CUMEEIRA_EM_FIBROCIMENTO_1" localSheetId="9">'BANCO DADOS ARQ'!#REF!</definedName>
    <definedName name="_004___FORRO_DRYWALL" localSheetId="9">'BANCO DADOS ARQ'!#REF!</definedName>
    <definedName name="_004___FORRO_DRYWALL_1" localSheetId="9">'BANCO DADOS ARQ'!$B$221:$C$280</definedName>
    <definedName name="_004___FORRO_MINERAL" localSheetId="9">'BANCO DADOS ARQ'!#REF!</definedName>
    <definedName name="_004___INSTALAÇÃO_DE_AZULEJO___H___1_80M___TOTAL" localSheetId="9">'BANCO DADOS ARQ'!$B$289:$G$309</definedName>
    <definedName name="_004___INSTALAÇÃO_DE_AZULEJO___H___1_80M___TOTAL_1" localSheetId="9">'BANCO DADOS ARQ'!#REF!</definedName>
    <definedName name="_004___MATERIAIS___CALHA" localSheetId="9">'BANCO DADOS ARQ'!$B$375:$C$378</definedName>
    <definedName name="_004___MATERIAIS___CALHA_1" localSheetId="9">'BANCO DADOS ARQ'!#REF!</definedName>
    <definedName name="_004___REVESTIMENTO_LAMINADO" localSheetId="9">'BANCO DADOS ARQ'!$B$315:$G$340</definedName>
    <definedName name="_004___RUFO_DE_ENCOSTO_EM_AÇO_GALVANIZADO" localSheetId="9">'BANCO DADOS ARQ'!#REF!</definedName>
    <definedName name="_004___RUFO_DE_ENCOSTO_EM_AÇO_GALVANIZADO_1" localSheetId="9">'BANCO DADOS ARQ'!#REF!</definedName>
    <definedName name="_004___RUFO_DE_ENCOSTO_EM_AÇO_GALVANIZADO_2" localSheetId="9">'BANCO DADOS ARQ'!$B$387:$C$390</definedName>
    <definedName name="_004___RUFO_PINGADEIRA__EM_AÇO_GALVANIZADO" localSheetId="9">'BANCO DADOS ARQ'!$B$396:$C$399</definedName>
    <definedName name="_004___RUFO_PINGADEIRA__EM_AÇO_GALVANIZADO_1" localSheetId="9">'BANCO DADOS ARQ'!#REF!</definedName>
    <definedName name="_004___RUFO_PINGADEIRA__EM_AÇO_GALVANIZADO_2" localSheetId="9">'BANCO DADOS ARQ'!#REF!</definedName>
    <definedName name="_004___TESOURA" localSheetId="9">'BANCO DADOS ARQ'!#REF!</definedName>
    <definedName name="_005____PISO_GRANILITE" localSheetId="9">'BANCO DADOS ARQ'!#REF!</definedName>
    <definedName name="_005____PISO_GRANILITE_1" localSheetId="9">'BANCO DADOS ARQ'!#REF!</definedName>
    <definedName name="_005____PISO_MANTA_VÍNILICA" localSheetId="9">'BANCO DADOS ARQ'!$B$408:$C$441</definedName>
    <definedName name="_005___PISO_60X60CM_GERAL" localSheetId="9">'BANCO DADOS ARQ'!$B$449:$D$477</definedName>
    <definedName name="_005___PISO_60X60CM_GERAL_1" localSheetId="9">'BANCO DADOS ARQ'!$B$950:$D$971</definedName>
    <definedName name="_005___PISO_ASSOALHO" localSheetId="9">'BANCO DADOS ARQ'!#REF!</definedName>
    <definedName name="_005___PISO_CERÂMICO_45X45CM____GERAL" localSheetId="9">'BANCO DADOS ARQ'!#REF!</definedName>
    <definedName name="_005___PISO_CERÂMICO_45X45CM____GERAL_1" localSheetId="9">'BANCO DADOS ARQ'!#REF!</definedName>
    <definedName name="_005___PISO_CERÂMICO_45X45CM____GERAL_2" localSheetId="9">'BANCO DADOS ARQ'!#REF!</definedName>
    <definedName name="_005___PISO_GERAL" localSheetId="9">'BANCO DADOS ARQ'!#REF!</definedName>
    <definedName name="_005___PISO_GERAL_1" localSheetId="9">'BANCO DADOS ARQ'!#REF!</definedName>
    <definedName name="_005___RODAPÉ_CERÂMICO" localSheetId="9">'BANCO DADOS ARQ'!#REF!</definedName>
    <definedName name="_005___RODAPÉ_CERÂMICO_1" localSheetId="9">'BANCO DADOS ARQ'!#REF!</definedName>
    <definedName name="_005___RODAPÉ_CERÂMICO_2" localSheetId="9">'BANCO DADOS ARQ'!#REF!</definedName>
    <definedName name="_005___RODAPÉ_CERÂMICO_3" localSheetId="9">'BANCO DADOS ARQ'!#REF!</definedName>
    <definedName name="_005___RODAPÉ_CERÂMICO_45X45CM" localSheetId="9">'BANCO DADOS ARQ'!#REF!</definedName>
    <definedName name="_005___RODAPÉ_CERÂMICO_60X60CM" localSheetId="9">'BANCO DADOS ARQ'!$B$488:$E$498</definedName>
    <definedName name="_005___RODAPÉ_MANTA_VÍNILICA" localSheetId="9">'BANCO DADOS ARQ'!$B$509:$E$542</definedName>
    <definedName name="_005___SOLEIRA" localSheetId="9">'BANCO DADOS ARQ'!$B$791:$G$800</definedName>
    <definedName name="_005___URBANIZAÇÃO" localSheetId="9">'BANCO DADOS ARQ'!#REF!</definedName>
    <definedName name="_005___URBANIZAÇÃO_1" localSheetId="9">'BANCO DADOS ARQ'!$B$551:$H$567</definedName>
    <definedName name="_006___ACESSÓRIOS_ESPECIAIS" localSheetId="9">'BANCO DADOS ARQ'!$B$561:$D$570</definedName>
    <definedName name="_006___ACESSÓRIOS_ESPECIAIS_1" localSheetId="9">'BANCO DADOS ARQ'!$B$579:$D$589</definedName>
    <definedName name="_006___TABELA_DE_LOUÇAS" localSheetId="9">'BANCO DADOS ARQ'!#REF!</definedName>
    <definedName name="_006___TABELA_DE_LOUÇAS_1" localSheetId="9">'BANCO DADOS ARQ'!$B$601:$D$625</definedName>
    <definedName name="_007___PINTURA_ACRÍLICA_EM_TETO" localSheetId="9">'BANCO DADOS ARQ'!$B$636:$C$695</definedName>
    <definedName name="_007___PINTURA_ACRÍLICA_EM_TETO_1" localSheetId="9">'BANCO DADOS ARQ'!#REF!</definedName>
    <definedName name="_007___PINTURA_ACRÍLICA_INTERNA_EM_PAREDES" localSheetId="9">'BANCO DADOS ARQ'!$B$703:$G$738</definedName>
    <definedName name="_007___PINTURA_ACRÍLICA_INTERNA_EM_PAREDES_1" localSheetId="9">'BANCO DADOS ARQ'!#REF!</definedName>
    <definedName name="_007___PINTURA_ESMALTE_EM_SUPERFÍCIE_METÁLICA___JANELA" localSheetId="9">'BANCO DADOS ARQ'!$B$747:$H$747</definedName>
    <definedName name="_007___PINTURA_ESMALTE_EM_SUPERFÍCIE_METÁLICA___JANELA_1" localSheetId="9">'BANCO DADOS ARQ'!#REF!</definedName>
    <definedName name="_007___PINTURA_ESMALTE_EM_SUPERFÍCIE_METÁLICA___JANELA_2" localSheetId="9">'BANCO DADOS ARQ'!$B$748:$H$757</definedName>
    <definedName name="_007___PINTURA_ESMALTE_EM_SUPERFÍCIE_METÁLICA___PORTAS" localSheetId="9">'BANCO DADOS ARQ'!#REF!</definedName>
    <definedName name="_007___PINTURA_ESMALTE_EM_SUPERFÍCIE_METÁLICA___PORTAS_1" localSheetId="9">'BANCO DADOS ARQ'!$B$761:$G$771</definedName>
    <definedName name="_007___PINTURA_ESMALTE_EM_SUPERFÍCIE_METÁLICA___PORTAS_2" localSheetId="9">'BANCO DADOS ARQ'!$B$773:$G$777</definedName>
    <definedName name="_007___PINTURA_ESMALTE_SINTÉTICO_EM_MADEIRA___PORTAS" localSheetId="9">'BANCO DADOS ARQ'!#REF!</definedName>
    <definedName name="_007___PINTURA_ESMALTE_SINTÉTICO_EM_MADEIRA___PORTAS_1" localSheetId="9">'BANCO DADOS ARQ'!#REF!</definedName>
    <definedName name="_xlnm._FilterDatabase" localSheetId="9" hidden="1">'BANCO DADOS ARQ'!$B$2:$G$794</definedName>
    <definedName name="_xlnm._FilterDatabase" localSheetId="11" hidden="1">COMPOSIÇÃO!$B$10:$B$36</definedName>
    <definedName name="_xlnm._FilterDatabase" localSheetId="12" hidden="1">COTAÇÕES!$A$1:$A$20</definedName>
    <definedName name="_xlnm._FilterDatabase" localSheetId="8" hidden="1">'MEMORIA DE CALCULO AT'!$J$3:$J$162</definedName>
    <definedName name="AMBIENTES" localSheetId="17">#REF!</definedName>
    <definedName name="AMBIENTES" localSheetId="16">#REF!</definedName>
    <definedName name="AMBIENTES">'MEMORIA DE CALCULO AT'!#REF!</definedName>
    <definedName name="_xlnm.Print_Area" localSheetId="9">'BANCO DADOS ARQ'!$B$2:$G$771</definedName>
    <definedName name="_xlnm.Print_Area" localSheetId="17">'BDI S DES'!$A$1:$F$50</definedName>
    <definedName name="_xlnm.Print_Area" localSheetId="16">'BDI S DES '!$A$1:$F$52</definedName>
    <definedName name="_xlnm.Print_Area" localSheetId="3">'CHECK-LIST'!$B$2:$E$32</definedName>
    <definedName name="_xlnm.Print_Area" localSheetId="11">COMPOSIÇÃO!$A$1:$J$36</definedName>
    <definedName name="_xlnm.Print_Area" localSheetId="10">COTAÇÕE!$A$1:$E$186</definedName>
    <definedName name="_xlnm.Print_Area" localSheetId="12">COTAÇÕES!$A$1:$E$20</definedName>
    <definedName name="_xlnm.Print_Area" localSheetId="14">'COTAÇÕES XXX'!$A$1:$E$170</definedName>
    <definedName name="_xlnm.Print_Area" localSheetId="13">'CRONOGRAMA DES'!$A$1:$X$53</definedName>
    <definedName name="_xlnm.Print_Area" localSheetId="15">'CRONOGRAMA S DES'!$A$1:$X$69</definedName>
    <definedName name="_xlnm.Print_Area" localSheetId="8">'MEMORIA DE CALCULO AT'!$B$3:$J$154</definedName>
    <definedName name="_xlnm.Print_Area" localSheetId="6">'ORÇAMENTO_N DES'!$B$2:$O$70</definedName>
    <definedName name="_xlnm.Print_Area" localSheetId="5">RELEVÂNCIA!$B$2:$E$18</definedName>
    <definedName name="_xlnm.Database" localSheetId="17">#REF!</definedName>
    <definedName name="_xlnm.Database" localSheetId="16">#REF!</definedName>
    <definedName name="_xlnm.Database" localSheetId="3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4">#REF!</definedName>
    <definedName name="_xlnm.Database" localSheetId="8">#REF!</definedName>
    <definedName name="_xlnm.Database" localSheetId="4">#REF!</definedName>
    <definedName name="_xlnm.Database" localSheetId="5">#REF!</definedName>
    <definedName name="_xlnm.Database">#REF!</definedName>
    <definedName name="BOLETIM" localSheetId="17">#REF!</definedName>
    <definedName name="BOLETIM" localSheetId="16">#REF!</definedName>
    <definedName name="BOLETIM" localSheetId="3">#REF!</definedName>
    <definedName name="BOLETIM" localSheetId="11">#REF!</definedName>
    <definedName name="BOLETIM" localSheetId="10">#REF!</definedName>
    <definedName name="BOLETIM" localSheetId="12">#REF!</definedName>
    <definedName name="BOLETIM" localSheetId="14">#REF!</definedName>
    <definedName name="BOLETIM" localSheetId="8">#REF!</definedName>
    <definedName name="BOLETIM" localSheetId="4">#REF!</definedName>
    <definedName name="BOLETIM" localSheetId="5">#REF!</definedName>
    <definedName name="BOLETIM">#REF!</definedName>
    <definedName name="CONTRATO">#REF!</definedName>
    <definedName name="_xlnm.Criteria" localSheetId="17">#REF!</definedName>
    <definedName name="_xlnm.Criteria" localSheetId="16">#REF!</definedName>
    <definedName name="_xlnm.Criteria" localSheetId="3">#REF!</definedName>
    <definedName name="_xlnm.Criteria" localSheetId="11">#REF!</definedName>
    <definedName name="_xlnm.Criteria" localSheetId="10">#REF!</definedName>
    <definedName name="_xlnm.Criteria" localSheetId="12">#REF!</definedName>
    <definedName name="_xlnm.Criteria" localSheetId="14">#REF!</definedName>
    <definedName name="_xlnm.Criteria" localSheetId="8">#REF!</definedName>
    <definedName name="_xlnm.Criteria" localSheetId="4">#REF!</definedName>
    <definedName name="_xlnm.Criteria" localSheetId="5">#REF!</definedName>
    <definedName name="_xlnm.Criteria">#REF!</definedName>
    <definedName name="G" localSheetId="17">#REF!</definedName>
    <definedName name="G" localSheetId="16">#REF!</definedName>
    <definedName name="G" localSheetId="3">#REF!</definedName>
    <definedName name="G" localSheetId="11">#REF!</definedName>
    <definedName name="G" localSheetId="10">#REF!</definedName>
    <definedName name="G" localSheetId="12">#REF!</definedName>
    <definedName name="G" localSheetId="14">#REF!</definedName>
    <definedName name="G" localSheetId="8">#REF!</definedName>
    <definedName name="G" localSheetId="4">#REF!</definedName>
    <definedName name="G" localSheetId="5">#REF!</definedName>
    <definedName name="G">#REF!</definedName>
    <definedName name="ImgEscudo" localSheetId="17">INDEX(IMAGENS!$B$1:$B$18,MATCH(DADOS!$D$8,IMAGENS!$A$1:$A$18,0))</definedName>
    <definedName name="ImgEscudo" localSheetId="16">INDEX(IMAGENS!$B$1:$B$18,MATCH(DADOS!$D$8,IMAGENS!$A$1:$A$18,0))</definedName>
    <definedName name="ImgEscudo" localSheetId="3">INDEX(#REF!,MATCH(#REF!,#REF!,0))</definedName>
    <definedName name="ImgEscudo" localSheetId="11">INDEX(IMAGENS!$B$1:$B$18,MATCH(DADOS!$D$8,IMAGENS!$A$1:$A$18,0))</definedName>
    <definedName name="ImgEscudo" localSheetId="10">INDEX(#REF!,MATCH(#REF!,#REF!,0))</definedName>
    <definedName name="ImgEscudo" localSheetId="12">INDEX(IMAGENS!$B$1:$B$18,MATCH(DADOS!$D$8,IMAGENS!$A$1:$A$18,0))</definedName>
    <definedName name="ImgEscudo" localSheetId="14">INDEX(#REF!,MATCH(#REF!,#REF!,0))</definedName>
    <definedName name="ImgEscudo" localSheetId="13">INDEX(IMAGENS!$B$1:$B$18,MATCH(DADOS!$D$8,IMAGENS!$A$1:$A$18,0))</definedName>
    <definedName name="ImgEscudo" localSheetId="15">INDEX(IMAGENS!$B$1:$B$18,MATCH(DADOS!$D$8,IMAGENS!$A$1:$A$18,0))</definedName>
    <definedName name="ImgEscudo" localSheetId="8">INDEX(IMAGENS!$B$1:$B$18,MATCH(DADOS!$D$8,IMAGENS!$A$1:$A$18,0))</definedName>
    <definedName name="ImgEscudo" localSheetId="6">INDEX(IMAGENS!$B$1:$B$18,MATCH(DADOS!$D$8,IMAGENS!$A$1:$A$18,0))</definedName>
    <definedName name="ImgEscudo" localSheetId="4">INDEX(#REF!,MATCH(#REF!,#REF!,0))</definedName>
    <definedName name="ImgEscudo" localSheetId="5">INDEX(#REF!,MATCH(#REF!,#REF!,0))</definedName>
    <definedName name="ImgEscudo">INDEX(IMAGENS!$B$1:$B$13,MATCH(DADOS!$D$8,IMAGENS!$A$1:$A$18,0))</definedName>
    <definedName name="ORÇAMENTO" localSheetId="17">#REF!</definedName>
    <definedName name="ORÇAMENTO" localSheetId="16">#REF!</definedName>
    <definedName name="ORÇAMENTO" localSheetId="3">#REF!</definedName>
    <definedName name="ORÇAMENTO" localSheetId="11">#REF!</definedName>
    <definedName name="ORÇAMENTO" localSheetId="10">#REF!</definedName>
    <definedName name="ORÇAMENTO" localSheetId="12">#REF!</definedName>
    <definedName name="ORÇAMENTO" localSheetId="14">#REF!</definedName>
    <definedName name="ORÇAMENTO" localSheetId="15">Tabela3[#All]</definedName>
    <definedName name="ORÇAMENTO" localSheetId="4">#REF!</definedName>
    <definedName name="ORÇAMENTO" localSheetId="5">Tabela32[#All]</definedName>
    <definedName name="ORÇAMENTO">Tabela3[#All]</definedName>
    <definedName name="PAREDES" localSheetId="17">#REF!</definedName>
    <definedName name="PAREDES" localSheetId="16">#REF!</definedName>
    <definedName name="PAREDES">'MEMORIA DE CALCULO AT'!#REF!</definedName>
    <definedName name="Print_Area_MI" localSheetId="17">#REF!</definedName>
    <definedName name="Print_Area_MI" localSheetId="16">#REF!</definedName>
    <definedName name="Print_Area_MI" localSheetId="3">#REF!</definedName>
    <definedName name="Print_Area_MI" localSheetId="11">#REF!</definedName>
    <definedName name="Print_Area_MI" localSheetId="10">#REF!</definedName>
    <definedName name="Print_Area_MI" localSheetId="12">#REF!</definedName>
    <definedName name="Print_Area_MI" localSheetId="14">#REF!</definedName>
    <definedName name="Print_Area_MI" localSheetId="8">#REF!</definedName>
    <definedName name="Print_Area_MI" localSheetId="4">#REF!</definedName>
    <definedName name="Print_Area_MI" localSheetId="5">#REF!</definedName>
    <definedName name="Print_Area_MI">#REF!</definedName>
    <definedName name="PROC">'MEMORIA DE CALCULO AT'!$C:$J</definedName>
    <definedName name="sss">INDEX(IMAGENS!$B$1:$B$18,MATCH(DADOS!$D$8,IMAGENS!$A$1:$A$18,0))</definedName>
    <definedName name="_xlnm.Print_Titles" localSheetId="6">'ORÇAMENTO_N DES'!$13:$13</definedName>
    <definedName name="_xlnm.Print_Titles" localSheetId="5">RELEVÂNCIA!$13:$13</definedName>
    <definedName name="un" localSheetId="17">#REF!</definedName>
    <definedName name="un" localSheetId="16">#REF!</definedName>
    <definedName name="un" localSheetId="3">#REF!</definedName>
    <definedName name="un" localSheetId="11">#REF!</definedName>
    <definedName name="un" localSheetId="10">#REF!</definedName>
    <definedName name="un" localSheetId="12">#REF!</definedName>
    <definedName name="un" localSheetId="14">#REF!</definedName>
    <definedName name="un" localSheetId="8">#REF!</definedName>
    <definedName name="un" localSheetId="4">#REF!</definedName>
    <definedName name="un" localSheetId="5">#REF!</definedName>
    <definedName name="un">#REF!</definedName>
    <definedName name="W" localSheetId="17">#REF!</definedName>
    <definedName name="W" localSheetId="16">#REF!</definedName>
    <definedName name="W" localSheetId="3">#REF!</definedName>
    <definedName name="W" localSheetId="11">#REF!</definedName>
    <definedName name="W" localSheetId="10">#REF!</definedName>
    <definedName name="W" localSheetId="12">#REF!</definedName>
    <definedName name="W" localSheetId="14">#REF!</definedName>
    <definedName name="W" localSheetId="8">#REF!</definedName>
    <definedName name="W" localSheetId="4">#REF!</definedName>
    <definedName name="W" localSheetId="5">#REF!</definedName>
    <definedName name="W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2" i="37" l="1"/>
  <c r="C9" i="12" l="1"/>
  <c r="M17" i="12" s="1"/>
  <c r="O12" i="12"/>
  <c r="V19" i="14" l="1"/>
  <c r="V18" i="14"/>
  <c r="V17" i="14"/>
  <c r="V16" i="14"/>
  <c r="V15" i="14"/>
  <c r="V14" i="14"/>
  <c r="V13" i="14"/>
  <c r="V12" i="14"/>
  <c r="V11" i="14"/>
  <c r="S19" i="14"/>
  <c r="S18" i="14"/>
  <c r="S17" i="14"/>
  <c r="X17" i="14" s="1"/>
  <c r="S16" i="14"/>
  <c r="S15" i="14"/>
  <c r="S14" i="14"/>
  <c r="S13" i="14"/>
  <c r="S12" i="14"/>
  <c r="S11" i="14"/>
  <c r="P19" i="14"/>
  <c r="P18" i="14"/>
  <c r="P17" i="14"/>
  <c r="P16" i="14"/>
  <c r="P15" i="14"/>
  <c r="P14" i="14"/>
  <c r="P13" i="14"/>
  <c r="P12" i="14"/>
  <c r="P11" i="14"/>
  <c r="M19" i="14"/>
  <c r="M18" i="14"/>
  <c r="M17" i="14"/>
  <c r="M16" i="14"/>
  <c r="M15" i="14"/>
  <c r="M14" i="14"/>
  <c r="M13" i="14"/>
  <c r="M12" i="14"/>
  <c r="M11" i="14"/>
  <c r="J19" i="14"/>
  <c r="J18" i="14"/>
  <c r="J17" i="14"/>
  <c r="J16" i="14"/>
  <c r="J15" i="14"/>
  <c r="J14" i="14"/>
  <c r="J13" i="14"/>
  <c r="J12" i="14"/>
  <c r="J11" i="14"/>
  <c r="G12" i="14"/>
  <c r="G13" i="14"/>
  <c r="G14" i="14"/>
  <c r="G15" i="14"/>
  <c r="G16" i="14"/>
  <c r="G17" i="14"/>
  <c r="G18" i="14"/>
  <c r="G19" i="14"/>
  <c r="G11" i="14"/>
  <c r="K17" i="14"/>
  <c r="K18" i="14"/>
  <c r="K19" i="14"/>
  <c r="J27" i="12"/>
  <c r="J38" i="12" s="1"/>
  <c r="J22" i="12"/>
  <c r="J21" i="12"/>
  <c r="J20" i="12"/>
  <c r="K14" i="14" l="1"/>
  <c r="N14" i="14" s="1"/>
  <c r="J39" i="12"/>
  <c r="N18" i="14"/>
  <c r="Q18" i="14" s="1"/>
  <c r="T18" i="14" s="1"/>
  <c r="W18" i="14" s="1"/>
  <c r="J43" i="12"/>
  <c r="K13" i="14"/>
  <c r="N13" i="14" s="1"/>
  <c r="Q13" i="14" s="1"/>
  <c r="T13" i="14" s="1"/>
  <c r="W13" i="14" s="1"/>
  <c r="N17" i="14"/>
  <c r="Q17" i="14" s="1"/>
  <c r="T17" i="14" s="1"/>
  <c r="W17" i="14" s="1"/>
  <c r="J42" i="12"/>
  <c r="N19" i="14"/>
  <c r="Q19" i="14" s="1"/>
  <c r="T19" i="14" s="1"/>
  <c r="X19" i="14"/>
  <c r="W19" i="14"/>
  <c r="X12" i="14"/>
  <c r="X14" i="14"/>
  <c r="X18" i="14"/>
  <c r="K12" i="14"/>
  <c r="N12" i="14" s="1"/>
  <c r="Q12" i="14" s="1"/>
  <c r="T12" i="14" s="1"/>
  <c r="W12" i="14" s="1"/>
  <c r="X16" i="14"/>
  <c r="X13" i="14"/>
  <c r="X15" i="14"/>
  <c r="Q14" i="14"/>
  <c r="T14" i="14" s="1"/>
  <c r="W14" i="14" s="1"/>
  <c r="X11" i="14"/>
  <c r="K11" i="14"/>
  <c r="N11" i="14" s="1"/>
  <c r="Q11" i="14" s="1"/>
  <c r="T11" i="14" s="1"/>
  <c r="W11" i="14" s="1"/>
  <c r="K16" i="14"/>
  <c r="N16" i="14" s="1"/>
  <c r="Q16" i="14" s="1"/>
  <c r="T16" i="14" s="1"/>
  <c r="W16" i="14" s="1"/>
  <c r="K15" i="14"/>
  <c r="N15" i="14" s="1"/>
  <c r="Q15" i="14" s="1"/>
  <c r="T15" i="14" s="1"/>
  <c r="W15" i="14" s="1"/>
  <c r="J61" i="12"/>
  <c r="J44" i="12"/>
  <c r="J28" i="12"/>
  <c r="J29" i="12"/>
  <c r="J31" i="12"/>
  <c r="J60" i="12"/>
  <c r="J35" i="12"/>
  <c r="J64" i="12"/>
  <c r="J48" i="12"/>
  <c r="J53" i="12"/>
  <c r="J57" i="12"/>
  <c r="J34" i="12"/>
  <c r="J36" i="12"/>
  <c r="J65" i="12"/>
  <c r="J54" i="12"/>
  <c r="J32" i="12"/>
  <c r="J33" i="12"/>
  <c r="J37" i="12"/>
  <c r="J68" i="12"/>
  <c r="J47" i="12"/>
  <c r="J52" i="12"/>
  <c r="B15" i="52"/>
  <c r="H111" i="37"/>
  <c r="H98" i="37"/>
  <c r="B96" i="37"/>
  <c r="A99" i="37" s="1"/>
  <c r="J98" i="37"/>
  <c r="H99" i="37"/>
  <c r="E43" i="12"/>
  <c r="F35" i="49"/>
  <c r="H94" i="37"/>
  <c r="I73" i="37"/>
  <c r="I69" i="37"/>
  <c r="C15" i="52" l="1"/>
  <c r="D15" i="52"/>
  <c r="C96" i="37"/>
  <c r="D96" i="37"/>
  <c r="J96" i="37"/>
  <c r="B18" i="52" l="1"/>
  <c r="B17" i="52"/>
  <c r="B16" i="52"/>
  <c r="B14" i="52"/>
  <c r="B17" i="51"/>
  <c r="B16" i="51"/>
  <c r="H15" i="14"/>
  <c r="B15" i="14"/>
  <c r="H14" i="14"/>
  <c r="B14" i="14"/>
  <c r="H135" i="37"/>
  <c r="H136" i="37" s="1"/>
  <c r="H139" i="37" s="1"/>
  <c r="H140" i="37" s="1"/>
  <c r="B137" i="37"/>
  <c r="B133" i="37"/>
  <c r="J139" i="37"/>
  <c r="J135" i="37"/>
  <c r="E60" i="12"/>
  <c r="E61" i="12"/>
  <c r="H112" i="37"/>
  <c r="D104" i="37"/>
  <c r="B104" i="37"/>
  <c r="B109" i="37"/>
  <c r="C109" i="37" s="1"/>
  <c r="B105" i="37"/>
  <c r="J111" i="37"/>
  <c r="J107" i="37"/>
  <c r="H108" i="37"/>
  <c r="E48" i="12"/>
  <c r="E47" i="12"/>
  <c r="B100" i="37"/>
  <c r="J102" i="37"/>
  <c r="H103" i="37"/>
  <c r="F44" i="12"/>
  <c r="E44" i="12"/>
  <c r="J36" i="49"/>
  <c r="H36" i="49"/>
  <c r="J35" i="49"/>
  <c r="H35" i="49"/>
  <c r="J34" i="49"/>
  <c r="H34" i="49"/>
  <c r="J33" i="49"/>
  <c r="H33" i="49"/>
  <c r="A136" i="37" l="1"/>
  <c r="D16" i="52"/>
  <c r="C16" i="52"/>
  <c r="A140" i="37"/>
  <c r="A108" i="37"/>
  <c r="J137" i="37"/>
  <c r="C133" i="37"/>
  <c r="D105" i="37"/>
  <c r="D133" i="37"/>
  <c r="J105" i="37"/>
  <c r="J133" i="37"/>
  <c r="C137" i="37"/>
  <c r="D137" i="37"/>
  <c r="J30" i="49"/>
  <c r="A112" i="37"/>
  <c r="C105" i="37"/>
  <c r="C100" i="37"/>
  <c r="D109" i="37"/>
  <c r="J109" i="37"/>
  <c r="A103" i="37"/>
  <c r="H30" i="49"/>
  <c r="J94" i="37" l="1"/>
  <c r="B91" i="37"/>
  <c r="B92" i="37"/>
  <c r="D91" i="37"/>
  <c r="E42" i="12"/>
  <c r="E32" i="12"/>
  <c r="E33" i="12"/>
  <c r="E34" i="12"/>
  <c r="E35" i="12"/>
  <c r="E36" i="12"/>
  <c r="E37" i="12"/>
  <c r="E38" i="12"/>
  <c r="E39" i="12"/>
  <c r="I70" i="37"/>
  <c r="I61" i="37"/>
  <c r="I78" i="37"/>
  <c r="H89" i="37" s="1"/>
  <c r="I66" i="37"/>
  <c r="I85" i="37" s="1"/>
  <c r="I86" i="37" s="1"/>
  <c r="B87" i="37"/>
  <c r="A90" i="37" s="1"/>
  <c r="B83" i="37"/>
  <c r="A86" i="37" s="1"/>
  <c r="B79" i="37"/>
  <c r="A82" i="37" s="1"/>
  <c r="B75" i="37"/>
  <c r="A78" i="37" s="1"/>
  <c r="B71" i="37"/>
  <c r="A74" i="37" s="1"/>
  <c r="B67" i="37"/>
  <c r="B54" i="37"/>
  <c r="D54" i="37"/>
  <c r="B63" i="37"/>
  <c r="A66" i="37" s="1"/>
  <c r="B59" i="37"/>
  <c r="B55" i="37"/>
  <c r="A58" i="37" s="1"/>
  <c r="E31" i="12"/>
  <c r="C50" i="37"/>
  <c r="B50" i="37"/>
  <c r="A53" i="37" s="1"/>
  <c r="C46" i="37"/>
  <c r="B46" i="37"/>
  <c r="A49" i="37" s="1"/>
  <c r="C42" i="37"/>
  <c r="D41" i="37"/>
  <c r="B41" i="37"/>
  <c r="B42" i="37"/>
  <c r="A45" i="37" s="1"/>
  <c r="B89" i="37"/>
  <c r="B85" i="37"/>
  <c r="B81" i="37"/>
  <c r="I74" i="37"/>
  <c r="E69" i="37"/>
  <c r="E73" i="37" s="1"/>
  <c r="I52" i="37"/>
  <c r="I53" i="37" s="1"/>
  <c r="I44" i="37"/>
  <c r="I48" i="37" s="1"/>
  <c r="A95" i="37" l="1"/>
  <c r="J92" i="37"/>
  <c r="C92" i="37"/>
  <c r="D92" i="37"/>
  <c r="J75" i="37"/>
  <c r="H95" i="37"/>
  <c r="J79" i="37"/>
  <c r="G57" i="37"/>
  <c r="I57" i="37" s="1"/>
  <c r="I58" i="37" s="1"/>
  <c r="G89" i="37" s="1"/>
  <c r="I89" i="37" s="1"/>
  <c r="I90" i="37" s="1"/>
  <c r="I81" i="37"/>
  <c r="I82" i="37" s="1"/>
  <c r="J83" i="37"/>
  <c r="C87" i="37"/>
  <c r="J59" i="37"/>
  <c r="C63" i="37"/>
  <c r="D63" i="37"/>
  <c r="J63" i="37"/>
  <c r="J67" i="37"/>
  <c r="J71" i="37"/>
  <c r="A70" i="37"/>
  <c r="A62" i="37"/>
  <c r="C67" i="37"/>
  <c r="D71" i="37"/>
  <c r="C75" i="37"/>
  <c r="D67" i="37"/>
  <c r="C71" i="37"/>
  <c r="D75" i="37"/>
  <c r="D55" i="37"/>
  <c r="C79" i="37"/>
  <c r="J55" i="37"/>
  <c r="D79" i="37"/>
  <c r="D87" i="37"/>
  <c r="J87" i="37"/>
  <c r="C55" i="37"/>
  <c r="C59" i="37"/>
  <c r="D59" i="37"/>
  <c r="C83" i="37"/>
  <c r="D83" i="37"/>
  <c r="I49" i="37"/>
  <c r="I62" i="37"/>
  <c r="I45" i="37"/>
  <c r="E28" i="12" l="1"/>
  <c r="D46" i="37"/>
  <c r="J46" i="37"/>
  <c r="E29" i="12"/>
  <c r="D50" i="37"/>
  <c r="J50" i="37"/>
  <c r="I117" i="37"/>
  <c r="H118" i="37" s="1"/>
  <c r="I12" i="12"/>
  <c r="B114" i="37"/>
  <c r="B113" i="37"/>
  <c r="H18" i="49"/>
  <c r="H19" i="49"/>
  <c r="H20" i="49"/>
  <c r="H21" i="49"/>
  <c r="H22" i="49"/>
  <c r="H23" i="49"/>
  <c r="H24" i="49"/>
  <c r="H25" i="49"/>
  <c r="H26" i="49"/>
  <c r="H27" i="49"/>
  <c r="H28" i="49"/>
  <c r="F18" i="12"/>
  <c r="J28" i="49"/>
  <c r="J27" i="49"/>
  <c r="J26" i="49"/>
  <c r="J25" i="49"/>
  <c r="J24" i="49"/>
  <c r="J23" i="49"/>
  <c r="J22" i="49"/>
  <c r="J21" i="49"/>
  <c r="J20" i="49"/>
  <c r="J19" i="49"/>
  <c r="J18" i="49"/>
  <c r="J17" i="49"/>
  <c r="H17" i="49"/>
  <c r="J16" i="49"/>
  <c r="H16" i="49"/>
  <c r="J15" i="49"/>
  <c r="H15" i="49"/>
  <c r="J14" i="49"/>
  <c r="H14" i="49"/>
  <c r="H11" i="49" l="1"/>
  <c r="J11" i="49"/>
  <c r="D17" i="52"/>
  <c r="J119" i="37"/>
  <c r="J121" i="37" s="1"/>
  <c r="J42" i="37"/>
  <c r="D142" i="37"/>
  <c r="D119" i="37"/>
  <c r="D115" i="37"/>
  <c r="D42" i="37"/>
  <c r="C142" i="37"/>
  <c r="B142" i="37"/>
  <c r="H144" i="37"/>
  <c r="H145" i="37" s="1"/>
  <c r="E64" i="12"/>
  <c r="C119" i="37"/>
  <c r="B119" i="37"/>
  <c r="E53" i="12"/>
  <c r="H130" i="37"/>
  <c r="I23" i="37"/>
  <c r="C123" i="37"/>
  <c r="B123" i="37"/>
  <c r="I125" i="37"/>
  <c r="H126" i="37" s="1"/>
  <c r="G121" i="37" s="1"/>
  <c r="I121" i="37" s="1"/>
  <c r="H122" i="37" s="1"/>
  <c r="D113" i="37"/>
  <c r="C115" i="37"/>
  <c r="B115" i="37"/>
  <c r="D114" i="37"/>
  <c r="D132" i="37"/>
  <c r="B132" i="37"/>
  <c r="E54" i="12"/>
  <c r="E52" i="12"/>
  <c r="E17" i="12"/>
  <c r="E18" i="12"/>
  <c r="E19" i="12"/>
  <c r="E20" i="12"/>
  <c r="E21" i="12"/>
  <c r="E22" i="12"/>
  <c r="E16" i="12"/>
  <c r="C36" i="37"/>
  <c r="B36" i="37"/>
  <c r="C33" i="37"/>
  <c r="B33" i="37"/>
  <c r="I32" i="37"/>
  <c r="C30" i="37"/>
  <c r="B30" i="37"/>
  <c r="C27" i="37"/>
  <c r="B27" i="37"/>
  <c r="B24" i="37"/>
  <c r="D123" i="37" l="1"/>
  <c r="C17" i="52"/>
  <c r="A122" i="37"/>
  <c r="A126" i="37"/>
  <c r="A118" i="37"/>
  <c r="E16" i="46" l="1"/>
  <c r="C24" i="37" l="1"/>
  <c r="D36" i="37"/>
  <c r="D33" i="37"/>
  <c r="D30" i="37"/>
  <c r="D27" i="37"/>
  <c r="C18" i="37" l="1"/>
  <c r="B18" i="37"/>
  <c r="I20" i="37"/>
  <c r="D10" i="32"/>
  <c r="A15" i="34"/>
  <c r="A16" i="34"/>
  <c r="A17" i="34"/>
  <c r="B1" i="46"/>
  <c r="D1" i="49"/>
  <c r="J18" i="37"/>
  <c r="D18" i="37"/>
  <c r="B12" i="51" l="1"/>
  <c r="B13" i="51"/>
  <c r="B14" i="51"/>
  <c r="B15" i="51"/>
  <c r="B18" i="51"/>
  <c r="B19" i="51"/>
  <c r="B11" i="51"/>
  <c r="K7" i="51"/>
  <c r="D7" i="52"/>
  <c r="C2" i="52"/>
  <c r="C1" i="51" l="1"/>
  <c r="B10" i="50" a="1"/>
  <c r="B10" i="50" s="1"/>
  <c r="A14" i="34" l="1"/>
  <c r="E23" i="47"/>
  <c r="D27" i="32"/>
  <c r="A18" i="34"/>
  <c r="E68" i="12" l="1"/>
  <c r="E65" i="12"/>
  <c r="E57" i="12"/>
  <c r="A145" i="37" s="1"/>
  <c r="E7" i="48" l="1"/>
  <c r="E7" i="42"/>
  <c r="U7" i="47"/>
  <c r="U7" i="14"/>
  <c r="D7" i="46"/>
  <c r="E6" i="49"/>
  <c r="I9" i="37"/>
  <c r="B18" i="46" l="1"/>
  <c r="B19" i="46"/>
  <c r="B20" i="46"/>
  <c r="D11" i="39" l="1"/>
  <c r="D12" i="39"/>
  <c r="D13" i="39"/>
  <c r="D14" i="39"/>
  <c r="D15" i="39"/>
  <c r="D16" i="39"/>
  <c r="D10" i="39"/>
  <c r="C11" i="39"/>
  <c r="C12" i="39"/>
  <c r="C13" i="39"/>
  <c r="C14" i="39"/>
  <c r="C15" i="39"/>
  <c r="C16" i="39"/>
  <c r="C10" i="39"/>
  <c r="B11" i="39"/>
  <c r="B12" i="39"/>
  <c r="B13" i="39"/>
  <c r="B14" i="39"/>
  <c r="B15" i="39"/>
  <c r="B16" i="39"/>
  <c r="B10" i="39"/>
  <c r="D94" i="39"/>
  <c r="D95" i="39"/>
  <c r="D96" i="39"/>
  <c r="D97" i="39"/>
  <c r="D93" i="39"/>
  <c r="C94" i="39"/>
  <c r="C95" i="39"/>
  <c r="C96" i="39"/>
  <c r="C97" i="39"/>
  <c r="C93" i="39"/>
  <c r="B94" i="39"/>
  <c r="B95" i="39"/>
  <c r="B96" i="39"/>
  <c r="B97" i="39"/>
  <c r="B93" i="39"/>
  <c r="A35" i="37"/>
  <c r="G38" i="37"/>
  <c r="A38" i="37"/>
  <c r="J36" i="37"/>
  <c r="E13" i="39" l="1"/>
  <c r="E16" i="39"/>
  <c r="E97" i="39"/>
  <c r="E10" i="39"/>
  <c r="E15" i="39"/>
  <c r="E14" i="39"/>
  <c r="E96" i="39"/>
  <c r="E11" i="39"/>
  <c r="E93" i="39"/>
  <c r="E95" i="39"/>
  <c r="E94" i="39"/>
  <c r="E12" i="39"/>
  <c r="E17" i="39" l="1"/>
  <c r="E98" i="39"/>
  <c r="D21" i="37"/>
  <c r="J21" i="37" l="1"/>
  <c r="V43" i="47" l="1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6" i="47"/>
  <c r="V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42" i="47"/>
  <c r="P43" i="47"/>
  <c r="P44" i="47"/>
  <c r="P45" i="47"/>
  <c r="P46" i="47"/>
  <c r="P47" i="47"/>
  <c r="P48" i="47"/>
  <c r="P49" i="47"/>
  <c r="P50" i="47"/>
  <c r="P51" i="47"/>
  <c r="P52" i="47"/>
  <c r="P53" i="47"/>
  <c r="P54" i="47"/>
  <c r="P55" i="47"/>
  <c r="P56" i="47"/>
  <c r="P57" i="47"/>
  <c r="P58" i="47"/>
  <c r="P59" i="47"/>
  <c r="P60" i="47"/>
  <c r="P61" i="47"/>
  <c r="P62" i="47"/>
  <c r="P63" i="47"/>
  <c r="P64" i="47"/>
  <c r="P65" i="47"/>
  <c r="P66" i="47"/>
  <c r="P42" i="47"/>
  <c r="M43" i="47"/>
  <c r="M44" i="47"/>
  <c r="M45" i="47"/>
  <c r="M46" i="47"/>
  <c r="M47" i="47"/>
  <c r="M48" i="47"/>
  <c r="M49" i="47"/>
  <c r="M50" i="47"/>
  <c r="M51" i="47"/>
  <c r="M52" i="47"/>
  <c r="M53" i="47"/>
  <c r="M54" i="47"/>
  <c r="M55" i="47"/>
  <c r="M56" i="47"/>
  <c r="M57" i="47"/>
  <c r="M58" i="47"/>
  <c r="M59" i="47"/>
  <c r="M60" i="47"/>
  <c r="M61" i="47"/>
  <c r="M62" i="47"/>
  <c r="M63" i="47"/>
  <c r="M64" i="47"/>
  <c r="M65" i="47"/>
  <c r="M66" i="47"/>
  <c r="M42" i="47"/>
  <c r="J43" i="47"/>
  <c r="J44" i="47"/>
  <c r="J45" i="47"/>
  <c r="J46" i="47"/>
  <c r="J47" i="47"/>
  <c r="J48" i="47"/>
  <c r="J49" i="47"/>
  <c r="J50" i="47"/>
  <c r="J51" i="47"/>
  <c r="J52" i="47"/>
  <c r="J53" i="47"/>
  <c r="J54" i="47"/>
  <c r="J55" i="47"/>
  <c r="J56" i="47"/>
  <c r="J57" i="47"/>
  <c r="J58" i="47"/>
  <c r="J59" i="47"/>
  <c r="J60" i="47"/>
  <c r="J61" i="47"/>
  <c r="J62" i="47"/>
  <c r="J63" i="47"/>
  <c r="J64" i="47"/>
  <c r="J65" i="47"/>
  <c r="J66" i="47"/>
  <c r="J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42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11" i="47"/>
  <c r="P12" i="47"/>
  <c r="P13" i="47"/>
  <c r="P14" i="47"/>
  <c r="P15" i="47"/>
  <c r="P16" i="47"/>
  <c r="P17" i="47"/>
  <c r="P18" i="47"/>
  <c r="P19" i="47"/>
  <c r="P20" i="47"/>
  <c r="P21" i="47"/>
  <c r="P22" i="47"/>
  <c r="P23" i="47"/>
  <c r="P24" i="47"/>
  <c r="P25" i="47"/>
  <c r="P26" i="47"/>
  <c r="P27" i="47"/>
  <c r="P28" i="47"/>
  <c r="P29" i="47"/>
  <c r="P30" i="47"/>
  <c r="P31" i="47"/>
  <c r="P32" i="47"/>
  <c r="P33" i="47"/>
  <c r="P34" i="47"/>
  <c r="P35" i="47"/>
  <c r="P11" i="47"/>
  <c r="M12" i="47"/>
  <c r="M13" i="47"/>
  <c r="M14" i="47"/>
  <c r="M15" i="47"/>
  <c r="M16" i="47"/>
  <c r="M17" i="47"/>
  <c r="M18" i="47"/>
  <c r="M19" i="47"/>
  <c r="M20" i="47"/>
  <c r="M21" i="47"/>
  <c r="M22" i="47"/>
  <c r="M23" i="47"/>
  <c r="M24" i="47"/>
  <c r="M25" i="47"/>
  <c r="M26" i="47"/>
  <c r="M27" i="47"/>
  <c r="M28" i="47"/>
  <c r="M29" i="47"/>
  <c r="M30" i="47"/>
  <c r="M31" i="47"/>
  <c r="M32" i="47"/>
  <c r="M33" i="47"/>
  <c r="M34" i="47"/>
  <c r="M35" i="47"/>
  <c r="M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J31" i="47"/>
  <c r="J32" i="47"/>
  <c r="J33" i="47"/>
  <c r="J34" i="47"/>
  <c r="J35" i="47"/>
  <c r="J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11" i="47"/>
  <c r="B66" i="47"/>
  <c r="B65" i="47"/>
  <c r="B64" i="47"/>
  <c r="B63" i="47"/>
  <c r="B62" i="47"/>
  <c r="B61" i="47"/>
  <c r="B60" i="47"/>
  <c r="B59" i="47"/>
  <c r="B58" i="47"/>
  <c r="B57" i="47"/>
  <c r="B56" i="47"/>
  <c r="B55" i="47"/>
  <c r="B54" i="47"/>
  <c r="B53" i="47"/>
  <c r="B52" i="47"/>
  <c r="B51" i="47"/>
  <c r="B50" i="47"/>
  <c r="B49" i="47"/>
  <c r="B48" i="47"/>
  <c r="B47" i="47"/>
  <c r="B46" i="47"/>
  <c r="B45" i="47"/>
  <c r="B44" i="47"/>
  <c r="B43" i="47"/>
  <c r="B42" i="47"/>
  <c r="B35" i="47"/>
  <c r="B34" i="47"/>
  <c r="B33" i="47"/>
  <c r="B32" i="47"/>
  <c r="B31" i="47"/>
  <c r="B30" i="47"/>
  <c r="B29" i="47"/>
  <c r="B28" i="47"/>
  <c r="B27" i="47"/>
  <c r="B26" i="47"/>
  <c r="B25" i="47"/>
  <c r="B24" i="47"/>
  <c r="B23" i="47"/>
  <c r="B22" i="47"/>
  <c r="B21" i="47"/>
  <c r="B20" i="47"/>
  <c r="B19" i="47"/>
  <c r="B18" i="47"/>
  <c r="B17" i="47"/>
  <c r="B16" i="47"/>
  <c r="B15" i="47"/>
  <c r="B14" i="47"/>
  <c r="B13" i="47"/>
  <c r="B12" i="47"/>
  <c r="B11" i="47"/>
  <c r="B12" i="14"/>
  <c r="B13" i="14"/>
  <c r="B16" i="14"/>
  <c r="B17" i="14"/>
  <c r="B18" i="14"/>
  <c r="B19" i="14"/>
  <c r="B47" i="14"/>
  <c r="B11" i="14"/>
  <c r="A8" i="14"/>
  <c r="A8" i="47" s="1"/>
  <c r="K34" i="39" l="1"/>
  <c r="K32" i="39"/>
  <c r="K31" i="39"/>
  <c r="C8" i="12" l="1"/>
  <c r="D100" i="37" l="1"/>
  <c r="C18" i="52"/>
  <c r="J100" i="37"/>
  <c r="D18" i="52"/>
  <c r="D24" i="37"/>
  <c r="J24" i="37"/>
  <c r="B7" i="49"/>
  <c r="B7" i="46"/>
  <c r="C8" i="52"/>
  <c r="B7" i="51"/>
  <c r="D612" i="39" l="1"/>
  <c r="D147" i="39" l="1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146" i="39" l="1"/>
  <c r="D202" i="39"/>
  <c r="C40" i="48" l="1"/>
  <c r="E50" i="48" s="1"/>
  <c r="E10" i="12" s="1"/>
  <c r="C42" i="42"/>
  <c r="C16" i="48"/>
  <c r="E26" i="48" s="1"/>
  <c r="C10" i="12" s="1"/>
  <c r="N43" i="12" s="1"/>
  <c r="A31" i="48"/>
  <c r="A30" i="48"/>
  <c r="A32" i="48"/>
  <c r="A29" i="48"/>
  <c r="B1" i="48"/>
  <c r="N60" i="12" l="1"/>
  <c r="N61" i="12"/>
  <c r="N47" i="12"/>
  <c r="N48" i="12"/>
  <c r="N42" i="12"/>
  <c r="N44" i="12"/>
  <c r="N37" i="12"/>
  <c r="N34" i="12"/>
  <c r="N35" i="12"/>
  <c r="N33" i="12"/>
  <c r="N38" i="12"/>
  <c r="N36" i="12"/>
  <c r="N32" i="12"/>
  <c r="N39" i="12"/>
  <c r="N31" i="12"/>
  <c r="N29" i="12"/>
  <c r="N28" i="12"/>
  <c r="N53" i="12"/>
  <c r="N64" i="12"/>
  <c r="N54" i="12"/>
  <c r="N52" i="12"/>
  <c r="N22" i="12"/>
  <c r="C10" i="52"/>
  <c r="N68" i="12"/>
  <c r="N21" i="12"/>
  <c r="N17" i="12"/>
  <c r="N65" i="12"/>
  <c r="N20" i="12"/>
  <c r="N27" i="12"/>
  <c r="N57" i="12"/>
  <c r="N16" i="12"/>
  <c r="E24" i="47" l="1"/>
  <c r="X66" i="47" l="1"/>
  <c r="X65" i="47"/>
  <c r="X64" i="47"/>
  <c r="X63" i="47"/>
  <c r="X62" i="47"/>
  <c r="X61" i="47"/>
  <c r="X60" i="47"/>
  <c r="X59" i="47"/>
  <c r="X58" i="47"/>
  <c r="X57" i="47"/>
  <c r="X56" i="47"/>
  <c r="X55" i="47"/>
  <c r="X54" i="47"/>
  <c r="X53" i="47"/>
  <c r="X52" i="47"/>
  <c r="X51" i="47"/>
  <c r="X50" i="47"/>
  <c r="X49" i="47"/>
  <c r="X48" i="47"/>
  <c r="X47" i="47"/>
  <c r="X46" i="47"/>
  <c r="X45" i="47"/>
  <c r="X44" i="47"/>
  <c r="X43" i="47"/>
  <c r="X42" i="47"/>
  <c r="X35" i="47"/>
  <c r="H35" i="47"/>
  <c r="X34" i="47"/>
  <c r="H34" i="47"/>
  <c r="K34" i="47" s="1"/>
  <c r="N34" i="47" s="1"/>
  <c r="Q34" i="47" s="1"/>
  <c r="T34" i="47" s="1"/>
  <c r="W34" i="47" s="1"/>
  <c r="H65" i="47" s="1"/>
  <c r="K65" i="47" s="1"/>
  <c r="N65" i="47" s="1"/>
  <c r="Q65" i="47" s="1"/>
  <c r="T65" i="47" s="1"/>
  <c r="X33" i="47"/>
  <c r="H33" i="47"/>
  <c r="X32" i="47"/>
  <c r="H32" i="47"/>
  <c r="X31" i="47"/>
  <c r="H31" i="47"/>
  <c r="X30" i="47"/>
  <c r="H30" i="47"/>
  <c r="X29" i="47"/>
  <c r="H29" i="47"/>
  <c r="X28" i="47"/>
  <c r="H28" i="47"/>
  <c r="X27" i="47"/>
  <c r="H27" i="47"/>
  <c r="K27" i="47" s="1"/>
  <c r="N27" i="47" s="1"/>
  <c r="Q27" i="47" s="1"/>
  <c r="T27" i="47" s="1"/>
  <c r="W27" i="47" s="1"/>
  <c r="X26" i="47"/>
  <c r="H26" i="47"/>
  <c r="X25" i="47"/>
  <c r="H25" i="47"/>
  <c r="X24" i="47"/>
  <c r="H24" i="47"/>
  <c r="X23" i="47"/>
  <c r="H23" i="47"/>
  <c r="X22" i="47"/>
  <c r="H22" i="47"/>
  <c r="X21" i="47"/>
  <c r="H21" i="47"/>
  <c r="X20" i="47"/>
  <c r="H20" i="47"/>
  <c r="X19" i="47"/>
  <c r="H19" i="47"/>
  <c r="X18" i="47"/>
  <c r="H18" i="47"/>
  <c r="X17" i="47"/>
  <c r="H17" i="47"/>
  <c r="K17" i="47" s="1"/>
  <c r="N17" i="47" s="1"/>
  <c r="Q17" i="47" s="1"/>
  <c r="T17" i="47" s="1"/>
  <c r="W17" i="47" s="1"/>
  <c r="X16" i="47"/>
  <c r="H16" i="47"/>
  <c r="X15" i="47"/>
  <c r="H15" i="47"/>
  <c r="X14" i="47"/>
  <c r="H14" i="47"/>
  <c r="X13" i="47"/>
  <c r="H13" i="47"/>
  <c r="X12" i="47"/>
  <c r="H12" i="47"/>
  <c r="K12" i="47" s="1"/>
  <c r="X11" i="47"/>
  <c r="H11" i="47"/>
  <c r="K11" i="47" s="1"/>
  <c r="A7" i="47"/>
  <c r="A6" i="47"/>
  <c r="A5" i="47"/>
  <c r="C1" i="47"/>
  <c r="N19" i="12" l="1"/>
  <c r="D14" i="52"/>
  <c r="N18" i="12"/>
  <c r="K29" i="47"/>
  <c r="N29" i="47" s="1"/>
  <c r="Q29" i="47" s="1"/>
  <c r="T29" i="47" s="1"/>
  <c r="W29" i="47" s="1"/>
  <c r="H60" i="47" s="1"/>
  <c r="K60" i="47" s="1"/>
  <c r="N60" i="47" s="1"/>
  <c r="Q60" i="47" s="1"/>
  <c r="T60" i="47" s="1"/>
  <c r="W60" i="47" s="1"/>
  <c r="K18" i="47"/>
  <c r="N18" i="47" s="1"/>
  <c r="Q18" i="47" s="1"/>
  <c r="T18" i="47" s="1"/>
  <c r="W18" i="47" s="1"/>
  <c r="H49" i="47" s="1"/>
  <c r="K49" i="47" s="1"/>
  <c r="N49" i="47" s="1"/>
  <c r="Q49" i="47" s="1"/>
  <c r="T49" i="47" s="1"/>
  <c r="W49" i="47" s="1"/>
  <c r="K22" i="47"/>
  <c r="N22" i="47" s="1"/>
  <c r="Q22" i="47" s="1"/>
  <c r="T22" i="47" s="1"/>
  <c r="W22" i="47" s="1"/>
  <c r="H53" i="47" s="1"/>
  <c r="K53" i="47" s="1"/>
  <c r="N53" i="47" s="1"/>
  <c r="Q53" i="47" s="1"/>
  <c r="T53" i="47" s="1"/>
  <c r="W53" i="47" s="1"/>
  <c r="K26" i="47"/>
  <c r="N26" i="47" s="1"/>
  <c r="Q26" i="47" s="1"/>
  <c r="T26" i="47" s="1"/>
  <c r="W26" i="47" s="1"/>
  <c r="H57" i="47" s="1"/>
  <c r="K57" i="47" s="1"/>
  <c r="N57" i="47" s="1"/>
  <c r="Q57" i="47" s="1"/>
  <c r="T57" i="47" s="1"/>
  <c r="W57" i="47" s="1"/>
  <c r="K30" i="47"/>
  <c r="N30" i="47" s="1"/>
  <c r="Q30" i="47" s="1"/>
  <c r="T30" i="47" s="1"/>
  <c r="W30" i="47" s="1"/>
  <c r="H61" i="47" s="1"/>
  <c r="K61" i="47" s="1"/>
  <c r="N61" i="47" s="1"/>
  <c r="Q61" i="47" s="1"/>
  <c r="T61" i="47" s="1"/>
  <c r="W61" i="47" s="1"/>
  <c r="K14" i="47"/>
  <c r="N14" i="47" s="1"/>
  <c r="Q14" i="47" s="1"/>
  <c r="T14" i="47" s="1"/>
  <c r="W14" i="47" s="1"/>
  <c r="H45" i="47" s="1"/>
  <c r="K45" i="47" s="1"/>
  <c r="K19" i="47"/>
  <c r="N19" i="47" s="1"/>
  <c r="Q19" i="47" s="1"/>
  <c r="T19" i="47" s="1"/>
  <c r="W19" i="47" s="1"/>
  <c r="H50" i="47" s="1"/>
  <c r="K50" i="47" s="1"/>
  <c r="N50" i="47" s="1"/>
  <c r="Q50" i="47" s="1"/>
  <c r="T50" i="47" s="1"/>
  <c r="W50" i="47" s="1"/>
  <c r="K23" i="47"/>
  <c r="N23" i="47" s="1"/>
  <c r="Q23" i="47" s="1"/>
  <c r="T23" i="47" s="1"/>
  <c r="W23" i="47" s="1"/>
  <c r="H54" i="47" s="1"/>
  <c r="K54" i="47" s="1"/>
  <c r="N54" i="47" s="1"/>
  <c r="Q54" i="47" s="1"/>
  <c r="T54" i="47" s="1"/>
  <c r="W54" i="47" s="1"/>
  <c r="K15" i="47"/>
  <c r="N15" i="47" s="1"/>
  <c r="Q15" i="47" s="1"/>
  <c r="T15" i="47" s="1"/>
  <c r="W15" i="47" s="1"/>
  <c r="H46" i="47" s="1"/>
  <c r="K46" i="47" s="1"/>
  <c r="N46" i="47" s="1"/>
  <c r="Q46" i="47" s="1"/>
  <c r="T46" i="47" s="1"/>
  <c r="W46" i="47" s="1"/>
  <c r="K16" i="47"/>
  <c r="N16" i="47" s="1"/>
  <c r="Q16" i="47" s="1"/>
  <c r="T16" i="47" s="1"/>
  <c r="W16" i="47" s="1"/>
  <c r="H47" i="47" s="1"/>
  <c r="K47" i="47" s="1"/>
  <c r="N47" i="47" s="1"/>
  <c r="Q47" i="47" s="1"/>
  <c r="T47" i="47" s="1"/>
  <c r="W47" i="47" s="1"/>
  <c r="K31" i="47"/>
  <c r="N31" i="47" s="1"/>
  <c r="Q31" i="47" s="1"/>
  <c r="T31" i="47" s="1"/>
  <c r="W31" i="47" s="1"/>
  <c r="H62" i="47" s="1"/>
  <c r="K62" i="47" s="1"/>
  <c r="N62" i="47" s="1"/>
  <c r="Q62" i="47" s="1"/>
  <c r="T62" i="47" s="1"/>
  <c r="W62" i="47" s="1"/>
  <c r="K20" i="47"/>
  <c r="N20" i="47" s="1"/>
  <c r="Q20" i="47" s="1"/>
  <c r="T20" i="47" s="1"/>
  <c r="W20" i="47" s="1"/>
  <c r="H51" i="47" s="1"/>
  <c r="K51" i="47" s="1"/>
  <c r="N51" i="47" s="1"/>
  <c r="Q51" i="47" s="1"/>
  <c r="T51" i="47" s="1"/>
  <c r="W51" i="47" s="1"/>
  <c r="K24" i="47"/>
  <c r="N24" i="47" s="1"/>
  <c r="Q24" i="47" s="1"/>
  <c r="T24" i="47" s="1"/>
  <c r="W24" i="47" s="1"/>
  <c r="H55" i="47" s="1"/>
  <c r="K55" i="47" s="1"/>
  <c r="N55" i="47" s="1"/>
  <c r="Q55" i="47" s="1"/>
  <c r="T55" i="47" s="1"/>
  <c r="W55" i="47" s="1"/>
  <c r="K35" i="47"/>
  <c r="N35" i="47" s="1"/>
  <c r="Q35" i="47" s="1"/>
  <c r="T35" i="47" s="1"/>
  <c r="W35" i="47" s="1"/>
  <c r="H66" i="47" s="1"/>
  <c r="K66" i="47" s="1"/>
  <c r="N66" i="47" s="1"/>
  <c r="Q66" i="47" s="1"/>
  <c r="T66" i="47" s="1"/>
  <c r="W66" i="47" s="1"/>
  <c r="K13" i="47"/>
  <c r="N13" i="47" s="1"/>
  <c r="Q13" i="47" s="1"/>
  <c r="T13" i="47" s="1"/>
  <c r="W13" i="47" s="1"/>
  <c r="H44" i="47" s="1"/>
  <c r="K44" i="47" s="1"/>
  <c r="K28" i="47"/>
  <c r="N28" i="47" s="1"/>
  <c r="Q28" i="47" s="1"/>
  <c r="T28" i="47" s="1"/>
  <c r="W28" i="47" s="1"/>
  <c r="H59" i="47" s="1"/>
  <c r="K59" i="47" s="1"/>
  <c r="N59" i="47" s="1"/>
  <c r="Q59" i="47" s="1"/>
  <c r="T59" i="47" s="1"/>
  <c r="W59" i="47" s="1"/>
  <c r="K32" i="47"/>
  <c r="N32" i="47" s="1"/>
  <c r="Q32" i="47" s="1"/>
  <c r="T32" i="47" s="1"/>
  <c r="W32" i="47" s="1"/>
  <c r="H63" i="47" s="1"/>
  <c r="K63" i="47" s="1"/>
  <c r="N63" i="47" s="1"/>
  <c r="Q63" i="47" s="1"/>
  <c r="T63" i="47" s="1"/>
  <c r="W63" i="47" s="1"/>
  <c r="K21" i="47"/>
  <c r="N21" i="47" s="1"/>
  <c r="Q21" i="47" s="1"/>
  <c r="T21" i="47" s="1"/>
  <c r="W21" i="47" s="1"/>
  <c r="H52" i="47" s="1"/>
  <c r="K52" i="47" s="1"/>
  <c r="N52" i="47" s="1"/>
  <c r="Q52" i="47" s="1"/>
  <c r="T52" i="47" s="1"/>
  <c r="W52" i="47" s="1"/>
  <c r="K25" i="47"/>
  <c r="N25" i="47" s="1"/>
  <c r="Q25" i="47" s="1"/>
  <c r="T25" i="47" s="1"/>
  <c r="W25" i="47" s="1"/>
  <c r="H56" i="47" s="1"/>
  <c r="K56" i="47" s="1"/>
  <c r="N56" i="47" s="1"/>
  <c r="Q56" i="47" s="1"/>
  <c r="T56" i="47" s="1"/>
  <c r="W56" i="47" s="1"/>
  <c r="K33" i="47"/>
  <c r="N33" i="47" s="1"/>
  <c r="Q33" i="47" s="1"/>
  <c r="T33" i="47" s="1"/>
  <c r="W33" i="47" s="1"/>
  <c r="H64" i="47" s="1"/>
  <c r="K64" i="47" s="1"/>
  <c r="N64" i="47" s="1"/>
  <c r="Q64" i="47" s="1"/>
  <c r="T64" i="47" s="1"/>
  <c r="W64" i="47" s="1"/>
  <c r="W65" i="47"/>
  <c r="H58" i="47"/>
  <c r="K58" i="47" s="1"/>
  <c r="N58" i="47" s="1"/>
  <c r="Q58" i="47" s="1"/>
  <c r="T58" i="47" s="1"/>
  <c r="W58" i="47" s="1"/>
  <c r="H48" i="47"/>
  <c r="K48" i="47" s="1"/>
  <c r="N48" i="47" s="1"/>
  <c r="Q48" i="47" s="1"/>
  <c r="T48" i="47" s="1"/>
  <c r="W48" i="47" s="1"/>
  <c r="N11" i="47"/>
  <c r="N12" i="47"/>
  <c r="Q12" i="47" s="1"/>
  <c r="C14" i="52" l="1"/>
  <c r="E32" i="47"/>
  <c r="T12" i="47"/>
  <c r="W12" i="47" s="1"/>
  <c r="H43" i="47" s="1"/>
  <c r="K43" i="47" s="1"/>
  <c r="Q11" i="47"/>
  <c r="N44" i="47"/>
  <c r="N45" i="47"/>
  <c r="E31" i="47" l="1"/>
  <c r="E30" i="47"/>
  <c r="T11" i="47"/>
  <c r="W11" i="47" s="1"/>
  <c r="H42" i="47" s="1"/>
  <c r="Q44" i="47"/>
  <c r="T44" i="47" s="1"/>
  <c r="W44" i="47" s="1"/>
  <c r="N43" i="47"/>
  <c r="Q45" i="47"/>
  <c r="T45" i="47" s="1"/>
  <c r="W45" i="47" s="1"/>
  <c r="E29" i="47" l="1"/>
  <c r="K42" i="47"/>
  <c r="Q43" i="47"/>
  <c r="T43" i="47" s="1"/>
  <c r="W43" i="47" s="1"/>
  <c r="G3" i="45"/>
  <c r="G4" i="45"/>
  <c r="G5" i="45"/>
  <c r="G6" i="45"/>
  <c r="G7" i="45"/>
  <c r="G8" i="45"/>
  <c r="G9" i="45"/>
  <c r="G10" i="45"/>
  <c r="G11" i="45"/>
  <c r="G12" i="45"/>
  <c r="G13" i="45"/>
  <c r="G14" i="45"/>
  <c r="G16" i="45"/>
  <c r="G17" i="45"/>
  <c r="G18" i="45"/>
  <c r="G19" i="45"/>
  <c r="G20" i="45"/>
  <c r="G2" i="45"/>
  <c r="D21" i="45"/>
  <c r="G21" i="45" s="1"/>
  <c r="K18" i="45"/>
  <c r="D15" i="45"/>
  <c r="G15" i="45" s="1"/>
  <c r="G22" i="45" l="1"/>
  <c r="N42" i="47"/>
  <c r="Q42" i="47" l="1"/>
  <c r="T42" i="47" s="1"/>
  <c r="W42" i="47" s="1"/>
  <c r="B117" i="44" l="1"/>
  <c r="B121" i="44"/>
  <c r="B120" i="44"/>
  <c r="B119" i="44"/>
  <c r="E117" i="44"/>
  <c r="B113" i="44"/>
  <c r="B114" i="44"/>
  <c r="B112" i="44"/>
  <c r="B110" i="44"/>
  <c r="E110" i="44"/>
  <c r="B106" i="44"/>
  <c r="B107" i="44"/>
  <c r="B105" i="44"/>
  <c r="B103" i="44"/>
  <c r="B136" i="44"/>
  <c r="B135" i="44"/>
  <c r="B134" i="44"/>
  <c r="E132" i="44"/>
  <c r="B100" i="44"/>
  <c r="B96" i="44"/>
  <c r="B99" i="44"/>
  <c r="B98" i="44"/>
  <c r="E96" i="44"/>
  <c r="E25" i="47" l="1"/>
  <c r="E20" i="47" l="1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X41" i="14"/>
  <c r="X42" i="14"/>
  <c r="X43" i="14"/>
  <c r="X44" i="14"/>
  <c r="X45" i="14"/>
  <c r="X46" i="14"/>
  <c r="X47" i="14"/>
  <c r="X48" i="14"/>
  <c r="X49" i="14"/>
  <c r="X50" i="14"/>
  <c r="B48" i="14"/>
  <c r="B46" i="14"/>
  <c r="B45" i="14"/>
  <c r="H48" i="14" l="1"/>
  <c r="H47" i="14"/>
  <c r="W47" i="14" s="1"/>
  <c r="H46" i="14"/>
  <c r="W46" i="14" s="1"/>
  <c r="B185" i="44"/>
  <c r="B184" i="44"/>
  <c r="B183" i="44"/>
  <c r="E181" i="44"/>
  <c r="B178" i="44"/>
  <c r="B177" i="44"/>
  <c r="B176" i="44"/>
  <c r="E174" i="44"/>
  <c r="B174" i="44"/>
  <c r="B171" i="44"/>
  <c r="B170" i="44"/>
  <c r="B169" i="44"/>
  <c r="E167" i="44"/>
  <c r="B164" i="44"/>
  <c r="B163" i="44"/>
  <c r="B162" i="44"/>
  <c r="E160" i="44"/>
  <c r="B157" i="44"/>
  <c r="B156" i="44"/>
  <c r="B155" i="44"/>
  <c r="E153" i="44"/>
  <c r="B150" i="44"/>
  <c r="B149" i="44"/>
  <c r="B148" i="44"/>
  <c r="E146" i="44"/>
  <c r="B143" i="44"/>
  <c r="B142" i="44"/>
  <c r="B141" i="44"/>
  <c r="E139" i="44"/>
  <c r="E103" i="44"/>
  <c r="B93" i="44"/>
  <c r="B92" i="44"/>
  <c r="B91" i="44"/>
  <c r="E89" i="44"/>
  <c r="J86" i="44"/>
  <c r="B86" i="44"/>
  <c r="B85" i="44"/>
  <c r="B84" i="44"/>
  <c r="E82" i="44"/>
  <c r="B79" i="44"/>
  <c r="B78" i="44"/>
  <c r="B77" i="44"/>
  <c r="E75" i="44"/>
  <c r="B72" i="44"/>
  <c r="B71" i="44"/>
  <c r="B70" i="44"/>
  <c r="E68" i="44"/>
  <c r="B65" i="44"/>
  <c r="B64" i="44"/>
  <c r="B63" i="44"/>
  <c r="E61" i="44"/>
  <c r="B58" i="44"/>
  <c r="B57" i="44"/>
  <c r="H56" i="44"/>
  <c r="B56" i="44"/>
  <c r="E54" i="44"/>
  <c r="L53" i="44"/>
  <c r="B8" i="44"/>
  <c r="B6" i="44"/>
  <c r="B134" i="43" l="1"/>
  <c r="B133" i="43"/>
  <c r="B132" i="43"/>
  <c r="E130" i="43"/>
  <c r="B50" i="43"/>
  <c r="B49" i="43"/>
  <c r="B48" i="43"/>
  <c r="E46" i="43"/>
  <c r="E39" i="43"/>
  <c r="B148" i="43"/>
  <c r="B147" i="43"/>
  <c r="B146" i="43"/>
  <c r="E144" i="43"/>
  <c r="B162" i="43"/>
  <c r="B161" i="43"/>
  <c r="B160" i="43"/>
  <c r="E158" i="43"/>
  <c r="B155" i="43"/>
  <c r="B154" i="43"/>
  <c r="B153" i="43"/>
  <c r="E151" i="43"/>
  <c r="B141" i="43"/>
  <c r="B140" i="43"/>
  <c r="B139" i="43"/>
  <c r="E137" i="43"/>
  <c r="B127" i="43"/>
  <c r="B126" i="43"/>
  <c r="B125" i="43"/>
  <c r="E123" i="43"/>
  <c r="B120" i="43"/>
  <c r="B119" i="43"/>
  <c r="B118" i="43"/>
  <c r="E116" i="43"/>
  <c r="B113" i="43"/>
  <c r="B112" i="43"/>
  <c r="B111" i="43"/>
  <c r="E109" i="43"/>
  <c r="B106" i="43"/>
  <c r="B105" i="43"/>
  <c r="B104" i="43"/>
  <c r="E102" i="43"/>
  <c r="B99" i="43"/>
  <c r="B98" i="43"/>
  <c r="B97" i="43"/>
  <c r="E95" i="43"/>
  <c r="B92" i="43"/>
  <c r="B91" i="43"/>
  <c r="B90" i="43"/>
  <c r="E88" i="43"/>
  <c r="B85" i="43"/>
  <c r="B84" i="43"/>
  <c r="B83" i="43"/>
  <c r="E81" i="43"/>
  <c r="B78" i="43"/>
  <c r="B77" i="43"/>
  <c r="B76" i="43"/>
  <c r="E74" i="43"/>
  <c r="J71" i="43"/>
  <c r="B71" i="43"/>
  <c r="B70" i="43"/>
  <c r="B69" i="43"/>
  <c r="E67" i="43"/>
  <c r="B64" i="43"/>
  <c r="B63" i="43"/>
  <c r="B62" i="43"/>
  <c r="E60" i="43"/>
  <c r="B57" i="43"/>
  <c r="B56" i="43"/>
  <c r="B55" i="43"/>
  <c r="E53" i="43"/>
  <c r="B43" i="43"/>
  <c r="B42" i="43"/>
  <c r="H41" i="43"/>
  <c r="B41" i="43"/>
  <c r="L38" i="43"/>
  <c r="B8" i="43"/>
  <c r="B6" i="43"/>
  <c r="B5" i="43"/>
  <c r="E27" i="12" l="1"/>
  <c r="B128" i="37" l="1"/>
  <c r="A131" i="37" s="1"/>
  <c r="C128" i="37"/>
  <c r="H131" i="37" l="1"/>
  <c r="XFD27" i="39" l="1"/>
  <c r="XFD28" i="39"/>
  <c r="XFD29" i="39"/>
  <c r="XFD30" i="39"/>
  <c r="XFD31" i="39"/>
  <c r="XFD32" i="39"/>
  <c r="XFD33" i="39"/>
  <c r="XFD34" i="39"/>
  <c r="XFD35" i="39"/>
  <c r="XFD36" i="39"/>
  <c r="XFD37" i="39"/>
  <c r="XFD38" i="39"/>
  <c r="XFD39" i="39"/>
  <c r="XFD40" i="39"/>
  <c r="XFD41" i="39"/>
  <c r="XFD42" i="39"/>
  <c r="XFD43" i="39"/>
  <c r="XFD44" i="39"/>
  <c r="XFD45" i="39"/>
  <c r="XFD46" i="39"/>
  <c r="XFD47" i="39"/>
  <c r="XFD48" i="39"/>
  <c r="XFD49" i="39"/>
  <c r="XFD50" i="39"/>
  <c r="XFD51" i="39"/>
  <c r="XFD52" i="39"/>
  <c r="XFD53" i="39"/>
  <c r="XFD54" i="39"/>
  <c r="XFD55" i="39"/>
  <c r="XFD56" i="39"/>
  <c r="XFD57" i="39"/>
  <c r="XFD58" i="39"/>
  <c r="XFD59" i="39"/>
  <c r="XFD60" i="39"/>
  <c r="XFD89" i="39"/>
  <c r="B1" i="42" l="1"/>
  <c r="E52" i="42"/>
  <c r="A32" i="42"/>
  <c r="A31" i="42"/>
  <c r="C17" i="42"/>
  <c r="E27" i="42" s="1"/>
  <c r="M43" i="12" s="1"/>
  <c r="A33" i="42"/>
  <c r="A30" i="42"/>
  <c r="M60" i="12" l="1"/>
  <c r="M61" i="12"/>
  <c r="E9" i="12"/>
  <c r="F9" i="12"/>
  <c r="M47" i="12"/>
  <c r="M48" i="12"/>
  <c r="M42" i="12"/>
  <c r="M44" i="12"/>
  <c r="M34" i="12"/>
  <c r="M35" i="12"/>
  <c r="M38" i="12"/>
  <c r="M33" i="12"/>
  <c r="M37" i="12"/>
  <c r="M32" i="12"/>
  <c r="M36" i="12"/>
  <c r="M39" i="12"/>
  <c r="M31" i="12"/>
  <c r="M29" i="12"/>
  <c r="M28" i="12"/>
  <c r="M64" i="12"/>
  <c r="M53" i="12"/>
  <c r="M54" i="12"/>
  <c r="M52" i="12"/>
  <c r="M19" i="12"/>
  <c r="M22" i="12"/>
  <c r="C9" i="52"/>
  <c r="M68" i="12"/>
  <c r="M65" i="12"/>
  <c r="M57" i="12"/>
  <c r="M18" i="12"/>
  <c r="M21" i="12"/>
  <c r="M20" i="12"/>
  <c r="M27" i="12"/>
  <c r="M16" i="12"/>
  <c r="A8" i="34"/>
  <c r="A13" i="34"/>
  <c r="A12" i="34"/>
  <c r="A11" i="34"/>
  <c r="A10" i="34"/>
  <c r="A9" i="34"/>
  <c r="C11" i="12" l="1"/>
  <c r="B8" i="46" s="1"/>
  <c r="B8" i="49" l="1"/>
  <c r="C11" i="52"/>
  <c r="B8" i="51"/>
  <c r="B8" i="47"/>
  <c r="B8" i="48"/>
  <c r="B32" i="48" s="1"/>
  <c r="B8" i="42"/>
  <c r="B33" i="42" s="1"/>
  <c r="B8" i="14"/>
  <c r="X26" i="14" l="1"/>
  <c r="B50" i="14"/>
  <c r="B49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H154" i="37" l="1"/>
  <c r="A26" i="37" l="1"/>
  <c r="C21" i="37"/>
  <c r="B21" i="37"/>
  <c r="D128" i="37" l="1"/>
  <c r="J128" i="37" l="1"/>
  <c r="D24" i="32" l="1"/>
  <c r="B151" i="37"/>
  <c r="A154" i="37" s="1"/>
  <c r="C151" i="37"/>
  <c r="J151" i="37"/>
  <c r="D150" i="37"/>
  <c r="B150" i="37"/>
  <c r="H148" i="37"/>
  <c r="H149" i="37" s="1"/>
  <c r="B141" i="37" l="1"/>
  <c r="D141" i="37"/>
  <c r="B146" i="37"/>
  <c r="A149" i="37" s="1"/>
  <c r="C146" i="37"/>
  <c r="B127" i="37"/>
  <c r="D127" i="37"/>
  <c r="D40" i="37" l="1"/>
  <c r="B40" i="37"/>
  <c r="D39" i="37"/>
  <c r="B39" i="37"/>
  <c r="A32" i="37"/>
  <c r="A29" i="37"/>
  <c r="A23" i="37"/>
  <c r="A20" i="37"/>
  <c r="D3" i="37"/>
  <c r="I43" i="12" l="1"/>
  <c r="O43" i="12" s="1"/>
  <c r="I60" i="12"/>
  <c r="O60" i="12" s="1"/>
  <c r="I61" i="12"/>
  <c r="O61" i="12" s="1"/>
  <c r="I47" i="12"/>
  <c r="O47" i="12" s="1"/>
  <c r="I48" i="12"/>
  <c r="O48" i="12" s="1"/>
  <c r="I44" i="12"/>
  <c r="O44" i="12" s="1"/>
  <c r="I42" i="12"/>
  <c r="O42" i="12" s="1"/>
  <c r="I33" i="12"/>
  <c r="O33" i="12" s="1"/>
  <c r="I34" i="12"/>
  <c r="O34" i="12" s="1"/>
  <c r="I36" i="12"/>
  <c r="O36" i="12" s="1"/>
  <c r="I39" i="12"/>
  <c r="O39" i="12" s="1"/>
  <c r="I37" i="12"/>
  <c r="O37" i="12" s="1"/>
  <c r="I38" i="12"/>
  <c r="O38" i="12" s="1"/>
  <c r="I35" i="12"/>
  <c r="O35" i="12" s="1"/>
  <c r="I32" i="12"/>
  <c r="O32" i="12" s="1"/>
  <c r="I31" i="12"/>
  <c r="O31" i="12" s="1"/>
  <c r="I29" i="12"/>
  <c r="O29" i="12" s="1"/>
  <c r="I28" i="12"/>
  <c r="O28" i="12" s="1"/>
  <c r="I27" i="12"/>
  <c r="O27" i="12" s="1"/>
  <c r="I64" i="12"/>
  <c r="O64" i="12" s="1"/>
  <c r="I53" i="12"/>
  <c r="O53" i="12" s="1"/>
  <c r="I52" i="12"/>
  <c r="O52" i="12" s="1"/>
  <c r="I54" i="12"/>
  <c r="O54" i="12" s="1"/>
  <c r="I16" i="12"/>
  <c r="O16" i="12" s="1"/>
  <c r="I17" i="12"/>
  <c r="O17" i="12" s="1"/>
  <c r="I21" i="12"/>
  <c r="O21" i="12" s="1"/>
  <c r="O59" i="12" l="1"/>
  <c r="K17" i="51" s="1"/>
  <c r="O41" i="12"/>
  <c r="O51" i="12"/>
  <c r="P64" i="12"/>
  <c r="E17" i="52"/>
  <c r="E14" i="52"/>
  <c r="E18" i="52"/>
  <c r="O46" i="12"/>
  <c r="E16" i="52"/>
  <c r="K13" i="51"/>
  <c r="E15" i="52"/>
  <c r="O30" i="12"/>
  <c r="I22" i="12"/>
  <c r="O22" i="12" s="1"/>
  <c r="I18" i="12"/>
  <c r="O18" i="12" s="1"/>
  <c r="I20" i="12"/>
  <c r="O20" i="12" s="1"/>
  <c r="I19" i="12"/>
  <c r="O19" i="12" s="1"/>
  <c r="I65" i="12"/>
  <c r="O65" i="12" s="1"/>
  <c r="P21" i="12"/>
  <c r="I68" i="12"/>
  <c r="P16" i="12"/>
  <c r="P17" i="12"/>
  <c r="I57" i="12"/>
  <c r="E14" i="14" l="1"/>
  <c r="L14" i="14" s="1"/>
  <c r="E13" i="14"/>
  <c r="O13" i="14" s="1"/>
  <c r="E17" i="14"/>
  <c r="R17" i="14" s="1"/>
  <c r="O68" i="12"/>
  <c r="O57" i="12"/>
  <c r="O15" i="12"/>
  <c r="E11" i="14" s="1"/>
  <c r="P65" i="12"/>
  <c r="P63" i="12" s="1"/>
  <c r="E34" i="47" s="1"/>
  <c r="O63" i="12"/>
  <c r="P18" i="12"/>
  <c r="P20" i="12"/>
  <c r="K14" i="51"/>
  <c r="O50" i="12"/>
  <c r="O26" i="12"/>
  <c r="P51" i="12"/>
  <c r="P19" i="12"/>
  <c r="P22" i="12"/>
  <c r="P68" i="12"/>
  <c r="P67" i="12" s="1"/>
  <c r="E35" i="47" s="1"/>
  <c r="P27" i="12"/>
  <c r="P57" i="12"/>
  <c r="R13" i="14" l="1"/>
  <c r="L13" i="14"/>
  <c r="I13" i="14"/>
  <c r="O56" i="12"/>
  <c r="O67" i="12"/>
  <c r="R14" i="14"/>
  <c r="I14" i="14"/>
  <c r="U14" i="14"/>
  <c r="O17" i="14"/>
  <c r="O14" i="14"/>
  <c r="O25" i="12"/>
  <c r="E15" i="14"/>
  <c r="L15" i="14" s="1"/>
  <c r="L17" i="14"/>
  <c r="I17" i="14"/>
  <c r="K18" i="51"/>
  <c r="E18" i="14"/>
  <c r="R11" i="14"/>
  <c r="O11" i="14"/>
  <c r="U11" i="14"/>
  <c r="L11" i="14"/>
  <c r="I11" i="14"/>
  <c r="K15" i="51"/>
  <c r="F14" i="14"/>
  <c r="K11" i="51"/>
  <c r="P56" i="12"/>
  <c r="P26" i="12"/>
  <c r="P15" i="12"/>
  <c r="E11" i="47" s="1"/>
  <c r="P59" i="12"/>
  <c r="E33" i="47" s="1"/>
  <c r="E28" i="47"/>
  <c r="E22" i="47"/>
  <c r="E21" i="47"/>
  <c r="K16" i="51" l="1"/>
  <c r="E19" i="47"/>
  <c r="E16" i="14"/>
  <c r="L16" i="14" s="1"/>
  <c r="K19" i="51"/>
  <c r="E19" i="14"/>
  <c r="L19" i="14" s="1"/>
  <c r="R15" i="14"/>
  <c r="F15" i="14"/>
  <c r="O24" i="12"/>
  <c r="I15" i="14"/>
  <c r="O15" i="14"/>
  <c r="R18" i="14"/>
  <c r="I18" i="14"/>
  <c r="O18" i="14"/>
  <c r="L18" i="14"/>
  <c r="U15" i="14"/>
  <c r="E26" i="47"/>
  <c r="P50" i="12"/>
  <c r="E15" i="47" s="1"/>
  <c r="E16" i="47"/>
  <c r="U18" i="14"/>
  <c r="R16" i="14" l="1"/>
  <c r="I16" i="14"/>
  <c r="O16" i="14"/>
  <c r="E12" i="14"/>
  <c r="R12" i="14" s="1"/>
  <c r="O19" i="14"/>
  <c r="I19" i="14"/>
  <c r="R19" i="14"/>
  <c r="K12" i="51"/>
  <c r="O14" i="12"/>
  <c r="O70" i="12"/>
  <c r="U17" i="14"/>
  <c r="P25" i="12"/>
  <c r="P24" i="12" s="1"/>
  <c r="E12" i="47" s="1"/>
  <c r="I12" i="14" l="1"/>
  <c r="I21" i="14" s="1"/>
  <c r="O12" i="14"/>
  <c r="O21" i="14" s="1"/>
  <c r="L12" i="14"/>
  <c r="L21" i="14" s="1"/>
  <c r="R21" i="14"/>
  <c r="U12" i="14"/>
  <c r="U13" i="14"/>
  <c r="E14" i="47"/>
  <c r="E13" i="47"/>
  <c r="U16" i="14"/>
  <c r="D151" i="37"/>
  <c r="J146" i="37"/>
  <c r="D146" i="37"/>
  <c r="H49" i="14" l="1"/>
  <c r="H43" i="14"/>
  <c r="H39" i="14"/>
  <c r="H40" i="14"/>
  <c r="H41" i="14"/>
  <c r="H34" i="14"/>
  <c r="H42" i="14"/>
  <c r="H50" i="14"/>
  <c r="H45" i="14"/>
  <c r="H33" i="14"/>
  <c r="H44" i="14"/>
  <c r="H38" i="14"/>
  <c r="H36" i="14"/>
  <c r="H35" i="14"/>
  <c r="H37" i="14"/>
  <c r="C10" i="37" l="1"/>
  <c r="C12" i="12" l="1"/>
  <c r="C12" i="52" s="1"/>
  <c r="B7" i="48"/>
  <c r="B31" i="48" s="1"/>
  <c r="C7" i="12"/>
  <c r="C6" i="12"/>
  <c r="D3" i="12"/>
  <c r="G14" i="12" l="1"/>
  <c r="B5" i="46"/>
  <c r="C6" i="52"/>
  <c r="D5" i="50"/>
  <c r="B5" i="51"/>
  <c r="B2" i="48"/>
  <c r="B2" i="46"/>
  <c r="D2" i="49"/>
  <c r="C3" i="52"/>
  <c r="C2" i="51"/>
  <c r="B6" i="49"/>
  <c r="D4" i="12"/>
  <c r="B6" i="46"/>
  <c r="C7" i="52"/>
  <c r="D7" i="50"/>
  <c r="B6" i="51"/>
  <c r="B5" i="48"/>
  <c r="B29" i="48" s="1"/>
  <c r="B5" i="49"/>
  <c r="B6" i="47"/>
  <c r="B6" i="48"/>
  <c r="B30" i="48" s="1"/>
  <c r="B7" i="44"/>
  <c r="B7" i="47"/>
  <c r="B2" i="44"/>
  <c r="C2" i="47"/>
  <c r="B5" i="44"/>
  <c r="B5" i="47"/>
  <c r="B7" i="42"/>
  <c r="B32" i="42" s="1"/>
  <c r="B7" i="43"/>
  <c r="C7" i="37"/>
  <c r="B5" i="42"/>
  <c r="B30" i="42" s="1"/>
  <c r="C8" i="37"/>
  <c r="B6" i="42"/>
  <c r="B31" i="42" s="1"/>
  <c r="D4" i="37"/>
  <c r="B2" i="42"/>
  <c r="C9" i="37"/>
  <c r="W37" i="14"/>
  <c r="W36" i="14"/>
  <c r="W44" i="14"/>
  <c r="W43" i="14"/>
  <c r="W48" i="14"/>
  <c r="W33" i="14"/>
  <c r="D3" i="49" l="1"/>
  <c r="C4" i="52"/>
  <c r="C3" i="51"/>
  <c r="B3" i="46"/>
  <c r="B3" i="48"/>
  <c r="C3" i="47"/>
  <c r="B3" i="42"/>
  <c r="D5" i="37"/>
  <c r="E60" i="47"/>
  <c r="U29" i="47"/>
  <c r="R29" i="47"/>
  <c r="O29" i="47"/>
  <c r="L29" i="47"/>
  <c r="I29" i="47"/>
  <c r="F29" i="47"/>
  <c r="E28" i="14"/>
  <c r="W38" i="14"/>
  <c r="W40" i="14"/>
  <c r="W42" i="14"/>
  <c r="W45" i="14"/>
  <c r="W50" i="14"/>
  <c r="W41" i="14"/>
  <c r="W34" i="14"/>
  <c r="W49" i="14"/>
  <c r="W39" i="14"/>
  <c r="W35" i="14"/>
  <c r="H18" i="14"/>
  <c r="H17" i="14"/>
  <c r="H19" i="14"/>
  <c r="I35" i="47" l="1"/>
  <c r="E50" i="14"/>
  <c r="O33" i="47"/>
  <c r="L33" i="47"/>
  <c r="I33" i="47"/>
  <c r="F33" i="47"/>
  <c r="E64" i="47"/>
  <c r="U33" i="47"/>
  <c r="R33" i="47"/>
  <c r="I32" i="47"/>
  <c r="R32" i="47"/>
  <c r="O32" i="47"/>
  <c r="L32" i="47"/>
  <c r="F32" i="47"/>
  <c r="U32" i="47"/>
  <c r="E63" i="47"/>
  <c r="U60" i="47"/>
  <c r="R60" i="47"/>
  <c r="O60" i="47"/>
  <c r="L60" i="47"/>
  <c r="I60" i="47"/>
  <c r="F60" i="47"/>
  <c r="E46" i="14"/>
  <c r="U46" i="14" s="1"/>
  <c r="E61" i="47"/>
  <c r="U30" i="47"/>
  <c r="R30" i="47"/>
  <c r="O30" i="47"/>
  <c r="L30" i="47"/>
  <c r="I30" i="47"/>
  <c r="F30" i="47"/>
  <c r="I22" i="47"/>
  <c r="E53" i="47"/>
  <c r="F22" i="47"/>
  <c r="U22" i="47"/>
  <c r="R22" i="47"/>
  <c r="O22" i="47"/>
  <c r="L22" i="47"/>
  <c r="U26" i="47"/>
  <c r="R26" i="47"/>
  <c r="O26" i="47"/>
  <c r="L26" i="47"/>
  <c r="I26" i="47"/>
  <c r="E57" i="47"/>
  <c r="F26" i="47"/>
  <c r="U34" i="47"/>
  <c r="R34" i="47"/>
  <c r="O34" i="47"/>
  <c r="L34" i="47"/>
  <c r="I34" i="47"/>
  <c r="E65" i="47"/>
  <c r="F34" i="47"/>
  <c r="F12" i="47"/>
  <c r="U12" i="47"/>
  <c r="R12" i="47"/>
  <c r="O12" i="47"/>
  <c r="L12" i="47"/>
  <c r="I12" i="47"/>
  <c r="E43" i="47"/>
  <c r="I13" i="47"/>
  <c r="E44" i="47"/>
  <c r="F13" i="47"/>
  <c r="U13" i="47"/>
  <c r="R13" i="47"/>
  <c r="O13" i="47"/>
  <c r="L13" i="47"/>
  <c r="U11" i="47"/>
  <c r="R11" i="47"/>
  <c r="O11" i="47"/>
  <c r="L11" i="47"/>
  <c r="I11" i="47"/>
  <c r="E42" i="47"/>
  <c r="R16" i="47"/>
  <c r="O16" i="47"/>
  <c r="L16" i="47"/>
  <c r="I16" i="47"/>
  <c r="E47" i="47"/>
  <c r="F16" i="47"/>
  <c r="U16" i="47"/>
  <c r="E48" i="14"/>
  <c r="U48" i="14" s="1"/>
  <c r="E45" i="14"/>
  <c r="U45" i="14" s="1"/>
  <c r="E41" i="14"/>
  <c r="U41" i="14" s="1"/>
  <c r="E36" i="14"/>
  <c r="E27" i="14"/>
  <c r="U27" i="14" s="1"/>
  <c r="E31" i="14"/>
  <c r="E37" i="14"/>
  <c r="E49" i="14"/>
  <c r="U49" i="14" s="1"/>
  <c r="E44" i="14"/>
  <c r="E47" i="14"/>
  <c r="U47" i="14" s="1"/>
  <c r="F11" i="47"/>
  <c r="L35" i="47" l="1"/>
  <c r="O35" i="47"/>
  <c r="R35" i="47"/>
  <c r="U35" i="47"/>
  <c r="F35" i="47"/>
  <c r="E66" i="47"/>
  <c r="L66" i="47" s="1"/>
  <c r="R64" i="47"/>
  <c r="I64" i="47"/>
  <c r="F64" i="47"/>
  <c r="O64" i="47"/>
  <c r="L64" i="47"/>
  <c r="U64" i="47"/>
  <c r="U61" i="47"/>
  <c r="R61" i="47"/>
  <c r="O61" i="47"/>
  <c r="L61" i="47"/>
  <c r="I61" i="47"/>
  <c r="F61" i="47"/>
  <c r="E54" i="47"/>
  <c r="U23" i="47"/>
  <c r="R23" i="47"/>
  <c r="O23" i="47"/>
  <c r="L23" i="47"/>
  <c r="I23" i="47"/>
  <c r="F23" i="47"/>
  <c r="E51" i="47"/>
  <c r="U20" i="47"/>
  <c r="R20" i="47"/>
  <c r="O20" i="47"/>
  <c r="L20" i="47"/>
  <c r="I20" i="47"/>
  <c r="F20" i="47"/>
  <c r="U63" i="47"/>
  <c r="R63" i="47"/>
  <c r="O63" i="47"/>
  <c r="L63" i="47"/>
  <c r="I63" i="47"/>
  <c r="F63" i="47"/>
  <c r="E56" i="47"/>
  <c r="U25" i="47"/>
  <c r="R25" i="47"/>
  <c r="O25" i="47"/>
  <c r="L25" i="47"/>
  <c r="I25" i="47"/>
  <c r="F25" i="47"/>
  <c r="L31" i="47"/>
  <c r="I31" i="47"/>
  <c r="E62" i="47"/>
  <c r="F31" i="47"/>
  <c r="U31" i="47"/>
  <c r="R31" i="47"/>
  <c r="O31" i="47"/>
  <c r="R42" i="47"/>
  <c r="O42" i="47"/>
  <c r="L42" i="47"/>
  <c r="U19" i="47"/>
  <c r="R19" i="47"/>
  <c r="O19" i="47"/>
  <c r="L19" i="47"/>
  <c r="I19" i="47"/>
  <c r="E50" i="47"/>
  <c r="F19" i="47"/>
  <c r="O15" i="47"/>
  <c r="L15" i="47"/>
  <c r="I15" i="47"/>
  <c r="E46" i="47"/>
  <c r="F15" i="47"/>
  <c r="U15" i="47"/>
  <c r="R15" i="47"/>
  <c r="L57" i="47"/>
  <c r="I57" i="47"/>
  <c r="F57" i="47"/>
  <c r="U57" i="47"/>
  <c r="R57" i="47"/>
  <c r="O57" i="47"/>
  <c r="U47" i="47"/>
  <c r="R47" i="47"/>
  <c r="O47" i="47"/>
  <c r="L47" i="47"/>
  <c r="I47" i="47"/>
  <c r="F47" i="47"/>
  <c r="U44" i="47"/>
  <c r="R44" i="47"/>
  <c r="O44" i="47"/>
  <c r="L44" i="47"/>
  <c r="I44" i="47"/>
  <c r="F44" i="47"/>
  <c r="L65" i="47"/>
  <c r="I65" i="47"/>
  <c r="F65" i="47"/>
  <c r="U65" i="47"/>
  <c r="R65" i="47"/>
  <c r="O65" i="47"/>
  <c r="U42" i="47"/>
  <c r="U43" i="47"/>
  <c r="R43" i="47"/>
  <c r="O43" i="47"/>
  <c r="L43" i="47"/>
  <c r="I43" i="47"/>
  <c r="F43" i="47"/>
  <c r="I42" i="47"/>
  <c r="U53" i="47"/>
  <c r="R53" i="47"/>
  <c r="O53" i="47"/>
  <c r="L53" i="47"/>
  <c r="I53" i="47"/>
  <c r="F53" i="47"/>
  <c r="L14" i="47"/>
  <c r="I14" i="47"/>
  <c r="E45" i="47"/>
  <c r="F14" i="47"/>
  <c r="U14" i="47"/>
  <c r="R14" i="47"/>
  <c r="O14" i="47"/>
  <c r="U28" i="47"/>
  <c r="R28" i="47"/>
  <c r="O28" i="47"/>
  <c r="L28" i="47"/>
  <c r="I28" i="47"/>
  <c r="E59" i="47"/>
  <c r="F28" i="47"/>
  <c r="F42" i="47"/>
  <c r="E40" i="14"/>
  <c r="U40" i="14" s="1"/>
  <c r="E43" i="14"/>
  <c r="E30" i="14"/>
  <c r="E38" i="14"/>
  <c r="U38" i="14" s="1"/>
  <c r="E29" i="14"/>
  <c r="E35" i="14"/>
  <c r="F47" i="14"/>
  <c r="F46" i="14"/>
  <c r="F50" i="14"/>
  <c r="F48" i="14"/>
  <c r="F45" i="14"/>
  <c r="F49" i="14"/>
  <c r="U44" i="14"/>
  <c r="F27" i="14"/>
  <c r="U28" i="14"/>
  <c r="U31" i="14"/>
  <c r="F41" i="14"/>
  <c r="R66" i="47" l="1"/>
  <c r="O66" i="47"/>
  <c r="U66" i="47"/>
  <c r="F66" i="47"/>
  <c r="I66" i="47"/>
  <c r="U54" i="47"/>
  <c r="R54" i="47"/>
  <c r="O54" i="47"/>
  <c r="L54" i="47"/>
  <c r="I54" i="47"/>
  <c r="F54" i="47"/>
  <c r="U51" i="47"/>
  <c r="R51" i="47"/>
  <c r="O51" i="47"/>
  <c r="L51" i="47"/>
  <c r="I51" i="47"/>
  <c r="F51" i="47"/>
  <c r="U56" i="47"/>
  <c r="R56" i="47"/>
  <c r="O56" i="47"/>
  <c r="L56" i="47"/>
  <c r="I56" i="47"/>
  <c r="F56" i="47"/>
  <c r="U45" i="47"/>
  <c r="R45" i="47"/>
  <c r="O45" i="47"/>
  <c r="L45" i="47"/>
  <c r="I45" i="47"/>
  <c r="F45" i="47"/>
  <c r="L50" i="47"/>
  <c r="I50" i="47"/>
  <c r="F50" i="47"/>
  <c r="U50" i="47"/>
  <c r="R50" i="47"/>
  <c r="O50" i="47"/>
  <c r="U46" i="47"/>
  <c r="R46" i="47"/>
  <c r="O46" i="47"/>
  <c r="L46" i="47"/>
  <c r="I46" i="47"/>
  <c r="F46" i="47"/>
  <c r="U62" i="47"/>
  <c r="R62" i="47"/>
  <c r="O62" i="47"/>
  <c r="L62" i="47"/>
  <c r="I62" i="47"/>
  <c r="F62" i="47"/>
  <c r="O59" i="47"/>
  <c r="L59" i="47"/>
  <c r="I59" i="47"/>
  <c r="F59" i="47"/>
  <c r="U59" i="47"/>
  <c r="R59" i="47"/>
  <c r="E34" i="14"/>
  <c r="U34" i="14" s="1"/>
  <c r="F28" i="14"/>
  <c r="F40" i="14"/>
  <c r="U30" i="14"/>
  <c r="U29" i="14"/>
  <c r="F44" i="14"/>
  <c r="U50" i="14"/>
  <c r="F31" i="14"/>
  <c r="U37" i="14"/>
  <c r="U43" i="14"/>
  <c r="F38" i="14"/>
  <c r="F34" i="14" l="1"/>
  <c r="F29" i="14"/>
  <c r="F30" i="14"/>
  <c r="F43" i="14"/>
  <c r="F37" i="14"/>
  <c r="H31" i="14"/>
  <c r="H32" i="14"/>
  <c r="H30" i="14"/>
  <c r="W32" i="14" l="1"/>
  <c r="W31" i="14"/>
  <c r="H13" i="14"/>
  <c r="B5" i="14"/>
  <c r="B6" i="14"/>
  <c r="B7" i="14"/>
  <c r="A6" i="14"/>
  <c r="A7" i="14"/>
  <c r="A5" i="14"/>
  <c r="W30" i="14" l="1"/>
  <c r="H28" i="14" l="1"/>
  <c r="H16" i="14"/>
  <c r="C2" i="14" l="1"/>
  <c r="C3" i="14"/>
  <c r="C1" i="14"/>
  <c r="F21" i="47" l="1"/>
  <c r="U21" i="47"/>
  <c r="R21" i="47"/>
  <c r="O21" i="47"/>
  <c r="L21" i="47"/>
  <c r="I21" i="47"/>
  <c r="E52" i="47"/>
  <c r="U52" i="47" l="1"/>
  <c r="R52" i="47"/>
  <c r="O52" i="47"/>
  <c r="L52" i="47"/>
  <c r="I52" i="47"/>
  <c r="F52" i="47"/>
  <c r="U35" i="14"/>
  <c r="W28" i="14"/>
  <c r="H29" i="14"/>
  <c r="H11" i="14"/>
  <c r="H12" i="14"/>
  <c r="U36" i="14" l="1"/>
  <c r="F35" i="14"/>
  <c r="F36" i="14" l="1"/>
  <c r="F12" i="14"/>
  <c r="W29" i="14" l="1"/>
  <c r="H26" i="14"/>
  <c r="H27" i="14"/>
  <c r="F17" i="14"/>
  <c r="F16" i="14" l="1"/>
  <c r="F13" i="14" l="1"/>
  <c r="W26" i="14" l="1"/>
  <c r="W27" i="14"/>
  <c r="F18" i="14" l="1"/>
  <c r="E17" i="47" l="1"/>
  <c r="E32" i="14" l="1"/>
  <c r="U32" i="14" s="1"/>
  <c r="U19" i="14"/>
  <c r="U21" i="14" s="1"/>
  <c r="U17" i="47"/>
  <c r="R17" i="47"/>
  <c r="O17" i="47"/>
  <c r="L17" i="47"/>
  <c r="I17" i="47"/>
  <c r="E48" i="47"/>
  <c r="F17" i="47"/>
  <c r="F19" i="14"/>
  <c r="F32" i="14" l="1"/>
  <c r="L48" i="47"/>
  <c r="I48" i="47"/>
  <c r="F48" i="47"/>
  <c r="U48" i="47"/>
  <c r="R48" i="47"/>
  <c r="O48" i="47"/>
  <c r="E55" i="47" l="1"/>
  <c r="U24" i="47"/>
  <c r="R24" i="47"/>
  <c r="O24" i="47"/>
  <c r="L24" i="47"/>
  <c r="I24" i="47"/>
  <c r="F24" i="47"/>
  <c r="E39" i="14"/>
  <c r="U55" i="47" l="1"/>
  <c r="R55" i="47"/>
  <c r="O55" i="47"/>
  <c r="L55" i="47"/>
  <c r="I55" i="47"/>
  <c r="F55" i="47"/>
  <c r="F39" i="14"/>
  <c r="U39" i="14"/>
  <c r="E27" i="47" l="1"/>
  <c r="U27" i="47" l="1"/>
  <c r="R27" i="47"/>
  <c r="O27" i="47"/>
  <c r="L27" i="47"/>
  <c r="I27" i="47"/>
  <c r="E58" i="47"/>
  <c r="F27" i="47"/>
  <c r="E42" i="14" l="1"/>
  <c r="L58" i="47"/>
  <c r="I58" i="47"/>
  <c r="F58" i="47"/>
  <c r="U58" i="47"/>
  <c r="R58" i="47"/>
  <c r="O58" i="47"/>
  <c r="U42" i="14" l="1"/>
  <c r="F42" i="14"/>
  <c r="B181" i="44" l="1"/>
  <c r="E18" i="47" l="1"/>
  <c r="P70" i="12" l="1"/>
  <c r="P14" i="12"/>
  <c r="R18" i="47"/>
  <c r="R37" i="47" s="1"/>
  <c r="E49" i="47" l="1"/>
  <c r="F49" i="47" s="1"/>
  <c r="F68" i="47" s="1"/>
  <c r="U18" i="47"/>
  <c r="U37" i="47" s="1"/>
  <c r="I18" i="47"/>
  <c r="I37" i="47" s="1"/>
  <c r="O18" i="47"/>
  <c r="O37" i="47" s="1"/>
  <c r="E36" i="47"/>
  <c r="D18" i="47" s="1"/>
  <c r="L18" i="47"/>
  <c r="L37" i="47" s="1"/>
  <c r="F18" i="47"/>
  <c r="F37" i="47" s="1"/>
  <c r="E67" i="47" l="1"/>
  <c r="G69" i="47" s="1"/>
  <c r="O49" i="47"/>
  <c r="O68" i="47" s="1"/>
  <c r="R49" i="47"/>
  <c r="R68" i="47" s="1"/>
  <c r="U49" i="47"/>
  <c r="U68" i="47" s="1"/>
  <c r="L49" i="47"/>
  <c r="L68" i="47" s="1"/>
  <c r="I49" i="47"/>
  <c r="I68" i="47" s="1"/>
  <c r="M38" i="47"/>
  <c r="P38" i="47"/>
  <c r="S38" i="47"/>
  <c r="D31" i="47"/>
  <c r="G38" i="47"/>
  <c r="H38" i="47" s="1"/>
  <c r="D44" i="47"/>
  <c r="D23" i="47"/>
  <c r="D28" i="47"/>
  <c r="D43" i="47"/>
  <c r="D45" i="47"/>
  <c r="D61" i="47"/>
  <c r="D34" i="47"/>
  <c r="F38" i="47"/>
  <c r="I38" i="47" s="1"/>
  <c r="L38" i="47" s="1"/>
  <c r="O38" i="47" s="1"/>
  <c r="R38" i="47" s="1"/>
  <c r="U38" i="47" s="1"/>
  <c r="F69" i="47" s="1"/>
  <c r="D30" i="47"/>
  <c r="D66" i="47"/>
  <c r="D49" i="47"/>
  <c r="D60" i="47"/>
  <c r="D32" i="47"/>
  <c r="D27" i="47"/>
  <c r="D48" i="47"/>
  <c r="D17" i="47"/>
  <c r="D62" i="47"/>
  <c r="D46" i="47"/>
  <c r="D22" i="47"/>
  <c r="D55" i="47"/>
  <c r="D35" i="47"/>
  <c r="D19" i="47"/>
  <c r="D16" i="47"/>
  <c r="V38" i="47"/>
  <c r="D33" i="47"/>
  <c r="D58" i="47"/>
  <c r="D65" i="47"/>
  <c r="D59" i="47"/>
  <c r="D64" i="47"/>
  <c r="D25" i="47"/>
  <c r="D56" i="47"/>
  <c r="D53" i="47"/>
  <c r="D57" i="47"/>
  <c r="D15" i="47"/>
  <c r="D14" i="47"/>
  <c r="D63" i="47"/>
  <c r="D29" i="47"/>
  <c r="D13" i="47"/>
  <c r="D42" i="47"/>
  <c r="D26" i="47"/>
  <c r="D12" i="47"/>
  <c r="D20" i="47"/>
  <c r="D47" i="47"/>
  <c r="J38" i="47"/>
  <c r="D21" i="47"/>
  <c r="D51" i="47"/>
  <c r="D52" i="47"/>
  <c r="D11" i="47"/>
  <c r="D24" i="47"/>
  <c r="D54" i="47"/>
  <c r="D50" i="47"/>
  <c r="D36" i="47" l="1"/>
  <c r="D67" i="47"/>
  <c r="V69" i="47"/>
  <c r="J69" i="47"/>
  <c r="M69" i="47"/>
  <c r="S69" i="47"/>
  <c r="P69" i="47"/>
  <c r="I69" i="47"/>
  <c r="L69" i="47" s="1"/>
  <c r="O69" i="47" s="1"/>
  <c r="R69" i="47" s="1"/>
  <c r="U69" i="47" s="1"/>
  <c r="K38" i="47"/>
  <c r="N38" i="47" s="1"/>
  <c r="Q38" i="47" s="1"/>
  <c r="T38" i="47" s="1"/>
  <c r="W38" i="47" s="1"/>
  <c r="H69" i="47" s="1"/>
  <c r="K69" i="47" l="1"/>
  <c r="N69" i="47" s="1"/>
  <c r="Q69" i="47" s="1"/>
  <c r="T69" i="47" s="1"/>
  <c r="W69" i="47" s="1"/>
  <c r="E33" i="14" l="1"/>
  <c r="F33" i="14" l="1"/>
  <c r="U33" i="14"/>
  <c r="K20" i="51" l="1"/>
  <c r="E20" i="14"/>
  <c r="J22" i="14" l="1"/>
  <c r="M22" i="14"/>
  <c r="S22" i="14"/>
  <c r="P22" i="14"/>
  <c r="V22" i="14"/>
  <c r="I16" i="51"/>
  <c r="I17" i="51"/>
  <c r="E26" i="14"/>
  <c r="E51" i="14" s="1"/>
  <c r="I13" i="51"/>
  <c r="I19" i="51"/>
  <c r="I18" i="51"/>
  <c r="I15" i="51"/>
  <c r="I14" i="51"/>
  <c r="I12" i="51"/>
  <c r="F11" i="14"/>
  <c r="F21" i="14" s="1"/>
  <c r="I11" i="51"/>
  <c r="I22" i="14" l="1"/>
  <c r="L22" i="14" s="1"/>
  <c r="O22" i="14" s="1"/>
  <c r="R22" i="14" s="1"/>
  <c r="U22" i="14" s="1"/>
  <c r="F22" i="14"/>
  <c r="D15" i="14"/>
  <c r="D14" i="14"/>
  <c r="U26" i="14"/>
  <c r="U52" i="14" s="1"/>
  <c r="V53" i="14" s="1"/>
  <c r="F26" i="14"/>
  <c r="F52" i="14" s="1"/>
  <c r="G53" i="14" s="1"/>
  <c r="D26" i="14"/>
  <c r="I20" i="51"/>
  <c r="D11" i="14"/>
  <c r="G22" i="14"/>
  <c r="D44" i="14"/>
  <c r="D50" i="14"/>
  <c r="D16" i="14"/>
  <c r="D45" i="14"/>
  <c r="D27" i="14"/>
  <c r="D29" i="14"/>
  <c r="D43" i="14"/>
  <c r="D13" i="14"/>
  <c r="D30" i="14"/>
  <c r="D42" i="14"/>
  <c r="D37" i="14"/>
  <c r="D31" i="14"/>
  <c r="D38" i="14"/>
  <c r="D33" i="14"/>
  <c r="D17" i="14"/>
  <c r="D32" i="14"/>
  <c r="D47" i="14"/>
  <c r="D34" i="14"/>
  <c r="D41" i="14"/>
  <c r="D48" i="14"/>
  <c r="D49" i="14"/>
  <c r="D12" i="14"/>
  <c r="D19" i="14"/>
  <c r="D35" i="14"/>
  <c r="D46" i="14"/>
  <c r="D36" i="14"/>
  <c r="D40" i="14"/>
  <c r="D39" i="14"/>
  <c r="D18" i="14"/>
  <c r="D28" i="14"/>
  <c r="H22" i="14" l="1"/>
  <c r="K22" i="14"/>
  <c r="N22" i="14" s="1"/>
  <c r="Q22" i="14" s="1"/>
  <c r="T22" i="14" s="1"/>
  <c r="W22" i="14" s="1"/>
  <c r="H53" i="14" s="1"/>
  <c r="W53" i="14" s="1"/>
  <c r="F53" i="14"/>
  <c r="U53" i="14" s="1"/>
  <c r="D51" i="14"/>
  <c r="D20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000 -  VERGA PORTA GERAL" type="6" refreshedVersion="5" background="1" saveData="1">
    <textPr codePage="65001" sourceFile="\\servidor\ENGELUGA - Copia\ENGELUGA\Clientes\Navirai\2022\REFORMA HOSPITAL\ORÇAMENTO\PLANILHA ORÇAMENTÁRIA\TXT\003 - PORTAS.txt" decimal="," thousands=".">
      <textFields count="4">
        <textField/>
        <textField/>
        <textField/>
        <textField/>
      </textFields>
    </textPr>
  </connection>
  <connection id="2" xr16:uid="{00000000-0015-0000-FFFF-FFFF01000000}" name="000 - TABELA DE AMBIENTES GERAL" type="6" refreshedVersion="5" background="1" saveData="1">
    <textPr codePage="65001" sourceFile="\\servidor\_PROJETOS\_GDRIVE\ENGELUGA - Copia\ENGELUGA\Clientes\Navirai\2022\REFORMA HOSPITAL\ORÇAMENTO\PLANILHA ORÇAMENTÁRIA\TXT\000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3" xr16:uid="{00000000-0015-0000-FFFF-FFFF02000000}" name="000 - VERGA_CONTRAVERGA JANELAS GERAL" type="6" refreshedVersion="6" background="1" saveData="1">
    <textPr codePage="65001" sourceFile="\\servidor\ENGELUGA - Copia\ENGELUGA\Clientes\Jardim\2021\HEMODIALISE\ORÇAMENTO\PLANILHA ORÇAMENTÁRIA\TXT - 2\000 - VERGA_CONTRAVERGA JANELAS GERAL.txt" decimal="," thousands=".">
      <textFields count="4">
        <textField/>
        <textField/>
        <textField/>
        <textField/>
      </textFields>
    </textPr>
  </connection>
  <connection id="4" xr16:uid="{00000000-0015-0000-FFFF-FFFF03000000}" name="003 - JANELAS" type="6" refreshedVersion="5" background="1" saveData="1">
    <textPr codePage="65001" sourceFile="\\SERVIDOR\ENGELUGA - Copia\ENGELUGA\Clientes\Navirai\2022\AMPLIAÇÃO UTI\ORÇAMENTO\PLANILHA ORÇAMENTÁRIA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5" xr16:uid="{00000000-0015-0000-FFFF-FFFF04000000}" name="003 - PEITORIL DE GRANITO PARA JANELAS" type="6" refreshedVersion="6" background="1" saveData="1">
    <textPr codePage="65001" sourceFile="\\servidor\ENGELUGA - Copia\ENGELUGA\Clientes\Jardim\2021\HEMODIALISE\ORÇAMENTO\PLANILHA ORÇAMENTÁRIA\TXT - 2\003 - PEITORIL DE GRANITO PARA JANELAS.txt" decimal="," thousands=".">
      <textFields count="4">
        <textField/>
        <textField/>
        <textField/>
        <textField/>
      </textFields>
    </textPr>
  </connection>
  <connection id="6" xr16:uid="{00000000-0015-0000-FFFF-FFFF05000000}" name="003 - PORTAS" type="6" refreshedVersion="5" background="1" saveData="1">
    <textPr codePage="65001" sourceFile="\\servidor\ENGELUGA - Copia\ENGELUGA\Clientes\Navirai\2022\REFORMA HOSPITAL\ORÇAMENTO\PLANILHA ORÇAMENTÁRIA\TXT\003 - PORTAS.txt" decimal="," thousands=".">
      <textFields count="6">
        <textField/>
        <textField/>
        <textField/>
        <textField/>
        <textField/>
        <textField/>
      </textFields>
    </textPr>
  </connection>
  <connection id="7" xr16:uid="{00000000-0015-0000-FFFF-FFFF06000000}" name="004 - CHAPISCO TETO" type="6" refreshedVersion="6" background="1" saveData="1">
    <textPr codePage="65001" sourceFile="\\servidor\ENGELUGA - Copia\ENGELUGA\Clientes\Jardim\2021\HEMODIALISE\ORÇAMENTO\PLANILHA ORÇAMENTÁRIA\TXT - 2\004 - CHAPISCO TETO.txt" decimal="," thousands=".">
      <textFields count="2">
        <textField/>
        <textField/>
      </textFields>
    </textPr>
  </connection>
  <connection id="8" xr16:uid="{00000000-0015-0000-FFFF-FFFF07000000}" name="004 - COBERTURA" type="6" refreshedVersion="6" background="1" saveData="1">
    <textPr codePage="65001" sourceFile="\\servidor\ENGELUGA - Copia\ENGELUGA\Clientes\Jardim\2021\HEMODIALISE\ORÇAMENTO\PLANILHA ORÇAMENTÁRIA\TXT - 2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9" xr16:uid="{00000000-0015-0000-FFFF-FFFF08000000}" name="004 - CUMEEIRA EM FIBROCIMENTO" type="6" refreshedVersion="6" background="1" saveData="1">
    <textPr codePage="65001" sourceFile="\\servidor\ENGELUGA - Copia\ENGELUGA\Clientes\Jardim\2021\HEMODIALISE\ORÇAMENTO\PLANILHA ORÇAMENTÁRIA\TXT - 2\004 - CUMEEIRA EM FIBROCIMENTO.txt" decimal="," thousands=".">
      <textFields count="2">
        <textField/>
        <textField/>
      </textFields>
    </textPr>
  </connection>
  <connection id="10" xr16:uid="{00000000-0015-0000-FFFF-FFFF09000000}" name="004 - FORRO DRYWALL1" type="6" refreshedVersion="6" background="1" saveData="1">
    <textPr codePage="65001" sourceFile="\\servidor\ENGELUGA - Copia\ENGELUGA\Clientes\Jardim\2021\HEMODIALISE\ORÇAMENTO\PLANILHA ORÇAMENTÁRIA\TXT - 2\004 - FORRO DRYWALL.txt" decimal="," thousands=".">
      <textFields count="2">
        <textField/>
        <textField/>
      </textFields>
    </textPr>
  </connection>
  <connection id="11" xr16:uid="{00000000-0015-0000-FFFF-FFFF0A000000}" name="004 - INSTALAÇÃO DE AZULEJO - H _ 1_80M - TOTAL" type="6" refreshedVersion="6" background="1" saveData="1">
    <textPr codePage="65001" sourceFile="\\servidor\ENGELUGA - Copia\ENGELUGA\Clientes\Jardim\2021\HEMODIALISE\ORÇAMENTO\PLANILHA ORÇAMENTÁRIA\TXT - 2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12" xr16:uid="{00000000-0015-0000-FFFF-FFFF0B000000}" name="004 - MATERIAIS - CALHA" type="6" refreshedVersion="6" background="1" saveData="1">
    <textPr codePage="65001" sourceFile="\\servidor\ENGELUGA - Copia\ENGELUGA\Clientes\Jardim\2021\HEMODIALISE\ORÇAMENTO\PLANILHA ORÇAMENTÁRIA\TXT - 2\004 - MATERIAIS - CALHA.txt" decimal="," thousands=".">
      <textFields count="2">
        <textField/>
        <textField/>
      </textFields>
    </textPr>
  </connection>
  <connection id="13" xr16:uid="{00000000-0015-0000-FFFF-FFFF0C000000}" name="004 - REVESTIMENTO LAMINADO" type="6" refreshedVersion="6" background="1" saveData="1">
    <textPr codePage="65001" sourceFile="\\servidor\ENGELUGA - Copia\ENGELUGA\Clientes\Jardim\2021\HEMODIALISE\ORÇAMENTO\PLANILHA ORÇAMENTÁRIA\TXT - 2\004 - REVESTIMENTO LAMINADO.txt" decimal="," thousands=".">
      <textFields count="6">
        <textField/>
        <textField/>
        <textField/>
        <textField/>
        <textField/>
        <textField/>
      </textFields>
    </textPr>
  </connection>
  <connection id="14" xr16:uid="{00000000-0015-0000-FFFF-FFFF0D000000}" name="004 - RUFO DE ENCOSTO EM AÇO GALVANIZADO1" type="6" refreshedVersion="6" background="1" saveData="1">
    <textPr codePage="65001" sourceFile="\\servidor\ENGELUGA - Copia\ENGELUGA\Clientes\Jardim\2021\HEMODIALISE\ORÇAMENTO\PLANILHA ORÇAMENTÁRIA\TXT - 2\004 - RUFO DE ENCOSTO EM AÇO GALVANIZADO.txt" decimal="," thousands=".">
      <textFields count="2">
        <textField/>
        <textField/>
      </textFields>
    </textPr>
  </connection>
  <connection id="15" xr16:uid="{00000000-0015-0000-FFFF-FFFF0E000000}" name="004 - RUFO PINGADEIRA  EM AÇO GALVANIZADO1" type="6" refreshedVersion="6" background="1" saveData="1">
    <textPr codePage="65001" sourceFile="\\servidor\ENGELUGA - Copia\ENGELUGA\Clientes\Jardim\2021\HEMODIALISE\ORÇAMENTO\PLANILHA ORÇAMENTÁRIA\TXT - 2\004 - RUFO PINGADEIRA  EM AÇO GALVANIZADO.txt" decimal="," thousands=".">
      <textFields count="2">
        <textField/>
        <textField/>
      </textFields>
    </textPr>
  </connection>
  <connection id="16" xr16:uid="{00000000-0015-0000-FFFF-FFFF0F000000}" name="005 -  PISO MANTA VÍNILICA" type="6" refreshedVersion="6" background="1" saveData="1">
    <textPr codePage="65001" sourceFile="\\servidor\ENGELUGA - Copia\ENGELUGA\Clientes\Jardim\2021\HEMODIALISE\ORÇAMENTO\PLANILHA ORÇAMENTÁRIA\TXT - 2\005 -  PISO MANTA VINILICA.txt" decimal="," thousands=".">
      <textFields count="2">
        <textField/>
        <textField/>
      </textFields>
    </textPr>
  </connection>
  <connection id="17" xr16:uid="{00000000-0015-0000-FFFF-FFFF10000000}" name="005 - PISO 60X60CM GERAL" type="6" refreshedVersion="6" background="1" saveData="1">
    <textPr codePage="65001" sourceFile="\\servidor\ENGELUGA - Copia\ENGELUGA\Clientes\Jardim\2021\HEMODIALISE\ORÇAMENTO\PLANILHA ORÇAMENTÁRIA\TXT - 2\005 - PISO 60X60CM GERAL.txt" decimal="," thousands=".">
      <textFields count="3">
        <textField/>
        <textField/>
        <textField/>
      </textFields>
    </textPr>
  </connection>
  <connection id="18" xr16:uid="{00000000-0015-0000-FFFF-FFFF11000000}" name="005 - PISO 60X60CM GERAL1" type="6" refreshedVersion="6" background="1" saveData="1">
    <textPr codePage="65001" sourceFile="P:\_GDRIVE\ENGELUGA - Copia\ENGELUGA\Clientes\Jardim\HEMODIALISE\ORÇAMENTO\PLANILHA ORÇAMENTÁRIA\TXT\005 - PISO 60X60CM GERAL.txt" decimal="," thousands=".">
      <textFields count="3">
        <textField/>
        <textField/>
        <textField/>
      </textFields>
    </textPr>
  </connection>
  <connection id="19" xr16:uid="{00000000-0015-0000-FFFF-FFFF12000000}" name="005 - RODAPÉ CERÂMICO 60X60CM" type="6" refreshedVersion="6" background="1" saveData="1">
    <textPr codePage="65001" sourceFile="\\servidor\ENGELUGA - Copia\ENGELUGA\Clientes\Jardim\2021\HEMODIALISE\ORÇAMENTO\PLANILHA ORÇAMENTÁRIA\TXT - 2\005 - RODAPÉ CERÂMICO.txt" decimal="," thousands=".">
      <textFields count="4">
        <textField/>
        <textField/>
        <textField/>
        <textField/>
      </textFields>
    </textPr>
  </connection>
  <connection id="20" xr16:uid="{00000000-0015-0000-FFFF-FFFF13000000}" name="005 - RODAPÉ MANTA VÍNILICA" type="6" refreshedVersion="6" background="1" saveData="1">
    <textPr codePage="65001" sourceFile="\\servidor\ENGELUGA - Copia\ENGELUGA\Clientes\Jardim\2021\HEMODIALISE\ORÇAMENTO\PLANILHA ORÇAMENTÁRIA\TXT - 2\005 - RODAPÉ VINILICO.txt" decimal="," thousands=".">
      <textFields count="4">
        <textField/>
        <textField/>
        <textField/>
        <textField/>
      </textFields>
    </textPr>
  </connection>
  <connection id="21" xr16:uid="{00000000-0015-0000-FFFF-FFFF14000000}" name="005 - SOLEIRA" type="6" refreshedVersion="6" background="1" saveData="1">
    <textPr codePage="65001" sourceFile="\\servidor\ENGELUGA - Copia\ENGELUGA\Clientes\Jardim\2021\HEMODIALISE\ORÇAMENTO\PLANILHA ORÇAMENTÁRIA\TXT - 2\005 - SOLEIRA.txt" decimal="," thousands=".">
      <textFields count="6">
        <textField/>
        <textField/>
        <textField/>
        <textField/>
        <textField/>
        <textField/>
      </textFields>
    </textPr>
  </connection>
  <connection id="22" xr16:uid="{00000000-0015-0000-FFFF-FFFF15000000}" name="005 - URBANIZAÇÃO1" type="6" refreshedVersion="6" background="1" saveData="1">
    <textPr sourceFile="\\servidor\ENGELUGA - Copia\ENGELUGA\Clientes\Jardim\2021\HEMODIALISE\ORÇAMENTO\PLANILHA ORÇAMENTÁRIA\TXT - 2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23" xr16:uid="{00000000-0015-0000-FFFF-FFFF16000000}" name="006 - ACESSÓRIOS ESPECIAIS" type="6" refreshedVersion="6" background="1" saveData="1">
    <textPr codePage="65001" sourceFile="P:\_GDRIVE\ENGELUGA - Copia\ENGELUGA\Clientes\Jardim\HEMODIALISE\ORÇAMENTO\PLANILHA ORÇAMENTÁRIA\TXT\006 - ACESSÓRIOS ESPECIAIS.txt" decimal="," thousands=".">
      <textFields count="3">
        <textField/>
        <textField/>
        <textField/>
      </textFields>
    </textPr>
  </connection>
  <connection id="24" xr16:uid="{00000000-0015-0000-FFFF-FFFF17000000}" name="006 - ACESSÓRIOS ESPECIAIS2" type="6" refreshedVersion="6" background="1" saveData="1">
    <textPr sourceFile="\\servidor\ENGELUGA - Copia\ENGELUGA\Clientes\Jardim\2021\HEMODIALISE\ORÇAMENTO\PLANILHA ORÇAMENTÁRIA\TXT - 2\006 - ACESSÓRIOS ESPECIAIS.txt" decimal="," thousands=".">
      <textFields count="4">
        <textField/>
        <textField/>
        <textField/>
        <textField/>
      </textFields>
    </textPr>
  </connection>
  <connection id="25" xr16:uid="{00000000-0015-0000-FFFF-FFFF18000000}" name="006 - TABELA DE LOUÇAS2" type="6" refreshedVersion="6" background="1" saveData="1">
    <textPr sourceFile="\\servidor\ENGELUGA - Copia\ENGELUGA\Clientes\Jardim\2021\HEMODIALISE\ORÇAMENTO\PLANILHA ORÇAMENTÁRIA\TXT - 2\006 - TABELA DE LOUÇAS.txt" decimal="," thousands=".">
      <textFields count="3">
        <textField/>
        <textField/>
        <textField/>
      </textFields>
    </textPr>
  </connection>
  <connection id="26" xr16:uid="{00000000-0015-0000-FFFF-FFFF19000000}" name="007 - PINTURA ACRÍLICA EM TETO" type="6" refreshedVersion="6" background="1" saveData="1">
    <textPr codePage="65001" sourceFile="\\servidor\ENGELUGA - Copia\ENGELUGA\Clientes\Jardim\2021\HEMODIALISE\ORÇAMENTO\PLANILHA ORÇAMENTÁRIA\TXT - 2\007 - PINTURA ACRÍLICA EM TETO.txt" decimal="," thousands=".">
      <textFields count="2">
        <textField/>
        <textField/>
      </textFields>
    </textPr>
  </connection>
  <connection id="27" xr16:uid="{00000000-0015-0000-FFFF-FFFF1A000000}" name="007 - PINTURA ACRÍLICA INTERNA EM PAREDES" type="6" refreshedVersion="6" background="1" saveData="1">
    <textPr codePage="65001" sourceFile="\\servidor\ENGELUGA - Copia\ENGELUGA\Clientes\Jardim\2021\HEMODIALISE\ORÇAMENTO\PLANILHA ORÇAMENTÁRIA\TXT - 2\007 - PINTURA ACRÍLICA INTERNA EM PAREDES.txt" decimal="," thousands=".">
      <textFields count="6">
        <textField/>
        <textField/>
        <textField/>
        <textField/>
        <textField/>
        <textField/>
      </textFields>
    </textPr>
  </connection>
  <connection id="28" xr16:uid="{00000000-0015-0000-FFFF-FFFF1B000000}" name="007 - PINTURA ESMALTE EM SUPERFÍCIE METÁLICA - JANELA" type="6" refreshedVersion="6" background="1" saveData="1">
    <textPr sourceFile="\\srv\D\Google Drive\ENGELUGA - Copia\ENGELUGA\Clientes\Bandeirantes\2019\CAMARA\ORÇAMENTO\PLANILHA ORÇAMENTÁRIA\TXT\ARQUITETURA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29" xr16:uid="{00000000-0015-0000-FFFF-FFFF1C000000}" name="007 - PINTURA ESMALTE EM SUPERFÍCIE METÁLICA - JANELA2" type="6" refreshedVersion="6" background="1" saveData="1">
    <textPr codePage="65001" sourceFile="\\servidor\ENGELUGA - Copia\ENGELUGA\Clientes\Jardim\2021\HEMODIALISE\ORÇAMENTO\PLANILHA ORÇAMENTÁRIA\TXT - 2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30" xr16:uid="{00000000-0015-0000-FFFF-FFFF1D000000}" name="007 - PINTURA ESMALTE EM SUPERFÍCIE METÁLICA - PORTAS1" type="6" refreshedVersion="6" background="1" saveData="1">
    <textPr codePage="65001" sourceFile="\\servidor\ENGELUGA - Copia\ENGELUGA\Clientes\Jardim\2021\HEMODIALISE\ORÇAMENTO\PLANILHA ORÇAMENTÁRIA\TXT - 2\007 - PINTURA ESMALTE EM SUPERFÍCIE METÁLICA - PORTAS.txt" decimal="," thousands=".">
      <textFields count="6">
        <textField/>
        <textField/>
        <textField/>
        <textField/>
        <textField/>
        <textField/>
      </textFields>
    </textPr>
  </connection>
  <connection id="31" xr16:uid="{00000000-0015-0000-FFFF-FFFF1E000000}" name="007 - PINTURA ESMALTE EM SUPERFÍCIE METÁLICA - PORTAS11" type="6" refreshedVersion="6" background="1" saveData="1">
    <textPr codePage="65001" sourceFile="\\servidor\ENGELUGA - Copia\ENGELUGA\Clientes\Jardim\2021\HEMODIALISE\ORÇAMENTO\PLANILHA ORÇAMENTÁRIA\TXT - 2\007 - PINTURA ESMALTE SINTÉTICO EM MADEIRA - PORTAS.txt" decimal="," thousands=".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<sst xmlns="http://schemas.openxmlformats.org/spreadsheetml/2006/main" count="2632" uniqueCount="998">
  <si>
    <t>%</t>
  </si>
  <si>
    <t>GOVERNO DO ESTADO DE MATO GROSSO DO SUL</t>
  </si>
  <si>
    <t>Município:</t>
  </si>
  <si>
    <t>Local:</t>
  </si>
  <si>
    <t>SERVIÇOS PRELIMINARES</t>
  </si>
  <si>
    <t>IT EM</t>
  </si>
  <si>
    <t>DESCRIÇÃO  DOS SERVIÇOS</t>
  </si>
  <si>
    <t>MÊS 1</t>
  </si>
  <si>
    <t>T OT AL MENSAL=</t>
  </si>
  <si>
    <t>T OT AL  ACUMULADO=</t>
  </si>
  <si>
    <t>dias</t>
  </si>
  <si>
    <t>2.</t>
  </si>
  <si>
    <t>1.</t>
  </si>
  <si>
    <t>1.1</t>
  </si>
  <si>
    <t>1.2</t>
  </si>
  <si>
    <t>1.3</t>
  </si>
  <si>
    <t>1.4</t>
  </si>
  <si>
    <t>2.1</t>
  </si>
  <si>
    <t>3.</t>
  </si>
  <si>
    <t>3.1</t>
  </si>
  <si>
    <t>TOTAL GERAL=</t>
  </si>
  <si>
    <t>PLANILHA DE ORÇAMENTO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</si>
  <si>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</si>
  <si>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</si>
  <si>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</si>
  <si>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</si>
  <si>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</si>
  <si>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</si>
  <si>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</si>
  <si>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</si>
  <si>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</si>
  <si>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</si>
  <si>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</si>
  <si>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% ACUMULADA</t>
  </si>
  <si>
    <t>4.</t>
  </si>
  <si>
    <t>4.1</t>
  </si>
  <si>
    <t xml:space="preserve">BDI C/DES: 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</si>
  <si>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</si>
  <si>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</si>
  <si>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</si>
  <si>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</si>
  <si>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</si>
  <si>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</si>
  <si>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</si>
  <si>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M2</t>
  </si>
  <si>
    <t>RESPONSÁVEL ORÇAMENTO</t>
  </si>
  <si>
    <t>MÊS 2</t>
  </si>
  <si>
    <t>MÊS 3</t>
  </si>
  <si>
    <t>1.5</t>
  </si>
  <si>
    <t>1.6</t>
  </si>
  <si>
    <t>1.7</t>
  </si>
  <si>
    <t>REFERENCIAL</t>
  </si>
  <si>
    <t>DESCRIÇÃO</t>
  </si>
  <si>
    <t>SERVIÇO</t>
  </si>
  <si>
    <t>SINAPI</t>
  </si>
  <si>
    <t>AGESUL</t>
  </si>
  <si>
    <t>COMPOSIÇÃO</t>
  </si>
  <si>
    <t>5.</t>
  </si>
  <si>
    <t>5.1</t>
  </si>
  <si>
    <t>7.</t>
  </si>
  <si>
    <t>7.1</t>
  </si>
  <si>
    <t>8.</t>
  </si>
  <si>
    <t>MÊS 4</t>
  </si>
  <si>
    <t>OBJETO:</t>
  </si>
  <si>
    <t>MUNÍCIPIO:</t>
  </si>
  <si>
    <t>LOCAL:</t>
  </si>
  <si>
    <t>SIST./REF.:</t>
  </si>
  <si>
    <t>ENCARGOS.:</t>
  </si>
  <si>
    <t>PRAZO EXEC.: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</si>
  <si>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</si>
  <si>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</si>
  <si>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</si>
  <si>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</si>
  <si>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</si>
  <si>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</si>
  <si>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</si>
  <si>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</si>
  <si>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</si>
  <si>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</si>
  <si>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</si>
  <si>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</si>
  <si>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</si>
  <si>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</si>
  <si>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</si>
  <si>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</si>
  <si>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</si>
  <si>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</si>
  <si>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</si>
  <si>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</si>
  <si>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</si>
  <si>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</si>
  <si>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</si>
  <si>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</si>
  <si>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</si>
  <si>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</si>
  <si>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</si>
  <si>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</si>
  <si>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</si>
  <si>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</si>
  <si>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</si>
  <si>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</si>
  <si>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</si>
  <si>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</si>
  <si>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</si>
  <si>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</si>
  <si>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</si>
  <si>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</si>
  <si>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</si>
  <si>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</si>
  <si>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</si>
  <si>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</si>
  <si>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</t>
  </si>
  <si>
    <t xml:space="preserve"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  </t>
  </si>
  <si>
    <t>UN</t>
  </si>
  <si>
    <t>FUNDAÇÃO</t>
  </si>
  <si>
    <t>PISO</t>
  </si>
  <si>
    <t>6.</t>
  </si>
  <si>
    <t>6.1</t>
  </si>
  <si>
    <t>9.</t>
  </si>
  <si>
    <t>10.</t>
  </si>
  <si>
    <t>11.</t>
  </si>
  <si>
    <t>M</t>
  </si>
  <si>
    <t>12.</t>
  </si>
  <si>
    <t>13.</t>
  </si>
  <si>
    <t>14.</t>
  </si>
  <si>
    <t>URBANIZAÇÃO</t>
  </si>
  <si>
    <t>SERVIÇOS COMPLEMENTARES</t>
  </si>
  <si>
    <t>14.2</t>
  </si>
  <si>
    <t>14.4</t>
  </si>
  <si>
    <t xml:space="preserve">LIMPEZA FINAL </t>
  </si>
  <si>
    <t xml:space="preserve">ADMINISTRAÇÃO LOCAL </t>
  </si>
  <si>
    <t>NELSON CINTRA RIBEIRO</t>
  </si>
  <si>
    <t>15.</t>
  </si>
  <si>
    <t>15.1</t>
  </si>
  <si>
    <t>15.2</t>
  </si>
  <si>
    <t>15.3</t>
  </si>
  <si>
    <t>15.4</t>
  </si>
  <si>
    <t>15.6</t>
  </si>
  <si>
    <t>16.</t>
  </si>
  <si>
    <t>17.</t>
  </si>
  <si>
    <t>18.</t>
  </si>
  <si>
    <t>20.</t>
  </si>
  <si>
    <t>21.</t>
  </si>
  <si>
    <t>CJ</t>
  </si>
  <si>
    <t>KG</t>
  </si>
  <si>
    <t>COTAÇÕES</t>
  </si>
  <si>
    <t>EMPRESAS</t>
  </si>
  <si>
    <t>CNPJ</t>
  </si>
  <si>
    <t>NOME</t>
  </si>
  <si>
    <t>FONE</t>
  </si>
  <si>
    <t>CONTATO</t>
  </si>
  <si>
    <t>C01</t>
  </si>
  <si>
    <t>SITE</t>
  </si>
  <si>
    <t>C02</t>
  </si>
  <si>
    <t>C03</t>
  </si>
  <si>
    <t>DATA COTAÇÃO</t>
  </si>
  <si>
    <t>MEDIANA</t>
  </si>
  <si>
    <t>001</t>
  </si>
  <si>
    <t>UND</t>
  </si>
  <si>
    <t>EMPRESA</t>
  </si>
  <si>
    <t>NOME DA EMPRESA</t>
  </si>
  <si>
    <t>002</t>
  </si>
  <si>
    <t>SHOPTIME</t>
  </si>
  <si>
    <t>003</t>
  </si>
  <si>
    <t>004</t>
  </si>
  <si>
    <t>005</t>
  </si>
  <si>
    <t>C04</t>
  </si>
  <si>
    <t>C05</t>
  </si>
  <si>
    <t>C06</t>
  </si>
  <si>
    <t>C07</t>
  </si>
  <si>
    <t xml:space="preserve">MEMÓRIA DE CALCULO </t>
  </si>
  <si>
    <t>Objeto:</t>
  </si>
  <si>
    <t>1.0</t>
  </si>
  <si>
    <t>OBS</t>
  </si>
  <si>
    <t>LARGURA</t>
  </si>
  <si>
    <t>ALTURA</t>
  </si>
  <si>
    <t>ÁREA</t>
  </si>
  <si>
    <t>FÓRMULA</t>
  </si>
  <si>
    <t>TOTAL</t>
  </si>
  <si>
    <t>EXTENSÃO</t>
  </si>
  <si>
    <t>COMPRIMENTO</t>
  </si>
  <si>
    <t>COMPRIMENTO  X LARGURA</t>
  </si>
  <si>
    <t>VOLUME</t>
  </si>
  <si>
    <t>CÓD.</t>
  </si>
  <si>
    <t>PERÍMETRO</t>
  </si>
  <si>
    <t>ABERTURA</t>
  </si>
  <si>
    <t>ÁREA DE ABERTURA</t>
  </si>
  <si>
    <t>ÁREA TOTAL</t>
  </si>
  <si>
    <t>CÓD</t>
  </si>
  <si>
    <t>QTDE</t>
  </si>
  <si>
    <t>MESES</t>
  </si>
  <si>
    <t xml:space="preserve">HORAS </t>
  </si>
  <si>
    <t xml:space="preserve">QTDE </t>
  </si>
  <si>
    <t>SEMANAS</t>
  </si>
  <si>
    <t>MESES X HORAS X QTDE X SEAMANAS</t>
  </si>
  <si>
    <t>PAREDE</t>
  </si>
  <si>
    <t>MATERIAL</t>
  </si>
  <si>
    <t>DADOS DO PROJETO</t>
  </si>
  <si>
    <t>CÓD ENG</t>
  </si>
  <si>
    <t>14.11</t>
  </si>
  <si>
    <t>14.18</t>
  </si>
  <si>
    <t>000 - TABELA DE AMBIENTES GERAL</t>
  </si>
  <si>
    <t>FORRO</t>
  </si>
  <si>
    <t>COPA</t>
  </si>
  <si>
    <t>Total geral</t>
  </si>
  <si>
    <t>000 -  VERGA PORTA GERAL</t>
  </si>
  <si>
    <t>VERGA</t>
  </si>
  <si>
    <t>P1</t>
  </si>
  <si>
    <t>P2</t>
  </si>
  <si>
    <t>P3</t>
  </si>
  <si>
    <t>P4</t>
  </si>
  <si>
    <t>P5</t>
  </si>
  <si>
    <t>P6</t>
  </si>
  <si>
    <t>P7</t>
  </si>
  <si>
    <t>000 - VERGA/CONTRAVERGA JANELAS GERAL</t>
  </si>
  <si>
    <t>VERGA/ CONTRAVERGA</t>
  </si>
  <si>
    <t>J2</t>
  </si>
  <si>
    <t>J1</t>
  </si>
  <si>
    <t>003 - JANELAS</t>
  </si>
  <si>
    <t>003 - PEITORIL DE GRANITO PARA JANELAS</t>
  </si>
  <si>
    <t>004 - COBERTURA</t>
  </si>
  <si>
    <t>004 - CUMEEIRA EM FIBROCIMENTO</t>
  </si>
  <si>
    <t>CUMEEIRA PARA TELHADO FIBROCIMENTO</t>
  </si>
  <si>
    <t>004 - INSTALAÇÃO DE AZULEJO - H = 1,80M - TOTAL</t>
  </si>
  <si>
    <t xml:space="preserve">ÁREA AZULEJO </t>
  </si>
  <si>
    <t>004 - MATERIAIS - CALHA</t>
  </si>
  <si>
    <t>COMPRIMENTO (M)</t>
  </si>
  <si>
    <t>RODAPÉ</t>
  </si>
  <si>
    <t>PUXADOR PARA PCD FIXADO NA PORTA</t>
  </si>
  <si>
    <t>Nota-chave</t>
  </si>
  <si>
    <t>007 - PINTURA ACRÍLICA EM TETO</t>
  </si>
  <si>
    <t>007 - PINTURA ACRÍLICA INTERNA EM PAREDES</t>
  </si>
  <si>
    <t>BANCO DE DADOS ENGELUGA ENGENHARIA</t>
  </si>
  <si>
    <t>005 - PISO 60X60CM GERAL</t>
  </si>
  <si>
    <t>12.12</t>
  </si>
  <si>
    <t>PERÍMETRO (M)</t>
  </si>
  <si>
    <t>ÁREA PINTURA (M2)</t>
  </si>
  <si>
    <t>ÁREA TOTAL (M2)</t>
  </si>
  <si>
    <t>VÃO</t>
  </si>
  <si>
    <t>P8</t>
  </si>
  <si>
    <t>004 - FORRO DRYWALL</t>
  </si>
  <si>
    <t>FORAM CONSIDERADAS AS DIMENSÕES PADRÃO DO GOVERNO FEDERAL</t>
  </si>
  <si>
    <t>EXTENSÃO DA EDIFICAÇÃO</t>
  </si>
  <si>
    <t>ESTRUTURA DE CONCRETO ARMADO</t>
  </si>
  <si>
    <t>C08</t>
  </si>
  <si>
    <t>C09</t>
  </si>
  <si>
    <t>C10</t>
  </si>
  <si>
    <t>C11</t>
  </si>
  <si>
    <t>C12</t>
  </si>
  <si>
    <t>VARANDA VIDROS</t>
  </si>
  <si>
    <t>(67) 3380-6060</t>
  </si>
  <si>
    <t>13.394.926/0001-50</t>
  </si>
  <si>
    <t>19.</t>
  </si>
  <si>
    <t>Total geral: 5</t>
  </si>
  <si>
    <t>ÁREA EXTERNA</t>
  </si>
  <si>
    <t xml:space="preserve">CAIXA DE PASSAGEM PARA AR CONDICIONADO SPLIT 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</si>
  <si>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</si>
  <si>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</si>
  <si>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</si>
  <si>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</si>
  <si>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</si>
  <si>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</si>
  <si>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</si>
  <si>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</si>
  <si>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FORNECIMENTO DE MATERIAIS E EQUIPAMENTOS</t>
  </si>
  <si>
    <t>36.720.042/0001-44</t>
  </si>
  <si>
    <t>KOMPARY</t>
  </si>
  <si>
    <t>RICARDO</t>
  </si>
  <si>
    <t>RAFAEL</t>
  </si>
  <si>
    <t>C13</t>
  </si>
  <si>
    <t>C14</t>
  </si>
  <si>
    <t>C15</t>
  </si>
  <si>
    <t>C16</t>
  </si>
  <si>
    <t>C17</t>
  </si>
  <si>
    <t>C18</t>
  </si>
  <si>
    <t>C19</t>
  </si>
  <si>
    <t>00.776.574/0001-56</t>
  </si>
  <si>
    <t>AMERICANAS</t>
  </si>
  <si>
    <t>C20</t>
  </si>
  <si>
    <t>LEROY MERLIN</t>
  </si>
  <si>
    <t>C21</t>
  </si>
  <si>
    <t>C22</t>
  </si>
  <si>
    <t>C23</t>
  </si>
  <si>
    <t>C24</t>
  </si>
  <si>
    <t>08.999.064/0002-30</t>
  </si>
  <si>
    <t>CONTRAFO</t>
  </si>
  <si>
    <t>(67) 3352-5700</t>
  </si>
  <si>
    <t>HUMBERTO</t>
  </si>
  <si>
    <t>C25</t>
  </si>
  <si>
    <t>C26</t>
  </si>
  <si>
    <t>16.848.927/0001-16</t>
  </si>
  <si>
    <t>MULTILED</t>
  </si>
  <si>
    <t>(67) 3022-1180</t>
  </si>
  <si>
    <t>THIAGO</t>
  </si>
  <si>
    <t>24.105.684/0001-54</t>
  </si>
  <si>
    <t>(67) 99334-8998</t>
  </si>
  <si>
    <t>ERICK</t>
  </si>
  <si>
    <t>C31</t>
  </si>
  <si>
    <t>C32</t>
  </si>
  <si>
    <t>C34</t>
  </si>
  <si>
    <t> 00.776.574/0006-60</t>
  </si>
  <si>
    <t xml:space="preserve"> 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</si>
  <si>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</si>
  <si>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</si>
  <si>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</si>
  <si>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</si>
  <si>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</si>
  <si>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</si>
  <si>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</si>
  <si>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</si>
  <si>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</si>
  <si>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</si>
  <si>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</si>
  <si>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 xml:space="preserve">APROVAÇÃO DE PROJETO, CONSTRUÇÃO E MONTAGEM DE TRANSFORMADOR DE DISTRIBUIÇÃO, 112,5 KVA, TRIFÁSICO,  380/220 VOLTS </t>
  </si>
  <si>
    <t>017</t>
  </si>
  <si>
    <t>018</t>
  </si>
  <si>
    <t>REGIME PREVIDENCIÁRIO PREVISTO SBC :</t>
  </si>
  <si>
    <t>J3</t>
  </si>
  <si>
    <t>22.034.572/0001-24</t>
  </si>
  <si>
    <t>DELTA COMÉRCIO</t>
  </si>
  <si>
    <t>(67) 3305-0906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</si>
  <si>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</si>
  <si>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</si>
  <si>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</si>
  <si>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</si>
  <si>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</si>
  <si>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</si>
  <si>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</si>
  <si>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</si>
  <si>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</si>
  <si>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</si>
  <si>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</si>
  <si>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</si>
  <si>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</si>
  <si>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</si>
  <si>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</si>
  <si>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</si>
  <si>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</si>
  <si>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</si>
  <si>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</si>
  <si>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</si>
  <si>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</si>
  <si>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</si>
  <si>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</si>
  <si>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</si>
  <si>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</si>
  <si>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</si>
  <si>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</si>
  <si>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</si>
  <si>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DEMONSTRAÇÃO DE BDI 2 - DESONERADO - Acórdão 2622/2013</t>
  </si>
  <si>
    <t>ÃREA</t>
  </si>
  <si>
    <t>DML</t>
  </si>
  <si>
    <t>J5</t>
  </si>
  <si>
    <t>J4</t>
  </si>
  <si>
    <t>DESCRIÃ‡ÃƒO</t>
  </si>
  <si>
    <t>005 - URBANIZAÃ‡ÃƒO</t>
  </si>
  <si>
    <t>CÃ“D ORC</t>
  </si>
  <si>
    <t>CALÃ‡ADA</t>
  </si>
  <si>
    <t>BARRA DE APOIO RETA, EM ACO INOX POLIDO, COMPRIMENTO 70CM</t>
  </si>
  <si>
    <t>BARRA DE APOIO RETA, EM ACO INOX POLIDO, COMPRIMENTO 80CM</t>
  </si>
  <si>
    <t>006 - TABELA DE LOUÃ‡AS</t>
  </si>
  <si>
    <t>Caixa dâ€™Ã¡gua de fibra de vidro, 3000L - FortLev</t>
  </si>
  <si>
    <t>CHUVEIRO ELÃ‰TRICO COMUM CORPO PLÃSTICO, TIPO DUCHA</t>
  </si>
  <si>
    <t>Coluna suspensa para lavatÃ³rio cor branca (66201), linha Fit - LouÃ§as Celite</t>
  </si>
  <si>
    <t>14.12</t>
  </si>
  <si>
    <t>SifÃ£o para lavatÃ³rio 1"x1.1â„2" com tubo de 300 mm (B5816C5CRB), linha Complementos - Metais Celite</t>
  </si>
  <si>
    <t>Torneira bÃ³ia 1/2", Fortlev</t>
  </si>
  <si>
    <t>TORNEIRA DE MESA BICA ALTA PARA LAVATÃ“RIO, MISTURADOR MONOCOMANDO REDONDA CROMADA â€“ REF. 14769069</t>
  </si>
  <si>
    <t>VÃ¡lvula de escoamento para lavatÃ³rio, 1" sem ladrÃ£o com tampa plÃ¡stica (B5828C5CR3), Complementos - Metais Celite</t>
  </si>
  <si>
    <t>003 - PORTAS</t>
  </si>
  <si>
    <t>INSTALAR TELHA FIBROCIMENTO, 1 ÁGUA, INCLINAÇÃO 10%</t>
  </si>
  <si>
    <t>TERÇA METÁLICA</t>
  </si>
  <si>
    <t>CALHA EM AÇO GALVANIZADO</t>
  </si>
  <si>
    <t>004 - RUFO DE ENCOSTO EM AÇO GALVANIZADO</t>
  </si>
  <si>
    <t>RUFO DE ENCOSTO EM AÇO GALVANIZADO</t>
  </si>
  <si>
    <t>004 - RUFO PINGADEIRA  EM AÇO GALVANIZADO</t>
  </si>
  <si>
    <t>RUFO PINGADEIRA EM AÇO GALVANIZADO</t>
  </si>
  <si>
    <t>RECEPÇÃO</t>
  </si>
  <si>
    <t>004 - CHAPISCO TETO</t>
  </si>
  <si>
    <t>Total geral:</t>
  </si>
  <si>
    <t>TANQUE DE LOUÃ‡A BRANCA SUSPENSO, 18L OU EQUIVALENTE</t>
  </si>
  <si>
    <t>006 - ACESSÃ“RIOS ESPECIAIS</t>
  </si>
  <si>
    <t xml:space="preserve">DESCRIÃ‡ÃƒO </t>
  </si>
  <si>
    <t>ÁREA PINTURA</t>
  </si>
  <si>
    <t>007 - PINTURA ESMALTE EM SUPERFÍCIE METÁLICA - JANELA</t>
  </si>
  <si>
    <t>007 - PINTURA ESMALTE EM SUPERFÍCIE METÁLICA - PORTAS</t>
  </si>
  <si>
    <t>005 - SOLEIRA</t>
  </si>
  <si>
    <t>CAIXA D'ÁGUA EM POLIETILENO 3000 LITROS, INCLUSO BOIA E ACESSÓRIOS - FORNECIMENTO E INSTALAÇÃO</t>
  </si>
  <si>
    <t xml:space="preserve">FORNECIMENTO E MONTAGEM DA BLINDAGEM RF PARA SALA DE RESSONÂNCIA MAGNÉTICA </t>
  </si>
  <si>
    <t>ARGAMASSA BARITADA PARA PROTEÇÃO RAGIOLÓGICA, COMPOSIÇÃO: SULFATO DE BÁRIO DE ALTO TEOR, AREIA, LIGAS DE AGREGAÇÃO E OUTROS ELEMENTOS MINERAIS</t>
  </si>
  <si>
    <t xml:space="preserve">VISOR EM CAIXILHO E AÇO BLINDADO INTERNAMENTE COM VIDRO PLUMBÍFERO, NAS DIMENSÕES 70X70CM - FORNECIMENTO </t>
  </si>
  <si>
    <t>PORTA DE ABRIR PARA PROTEÇÃO RADIOLÓGICA NAS DIMENSÕES 90X210CM EM CHAPA DE MADEIRA EM LAMINADO MELAMÍNICO TX BRANCO, BATENTE DE AÇO DE 10CM COM PINTURA ELETROSTÁTICA , INCLUSO FECHADURA PADO, DOBRADIÇA E PROTEÇÃO INTERNA DE 2,0MM PB</t>
  </si>
  <si>
    <t>PORTA DE ABRIR PARA PROTEÇÃO RADIOLÓGICA NAS DIMENSÕES 120X210CM EM CHAPA DE MADEIRA EM LAMINADO MELAMÍNICO TX BRANCO, BATENTE DE AÇO DE 10CM COM PINTURA ELETROSTÁTICA , INCLUSO FECHADURA PADO, DOBRADIÇA E PROTEÇÃO INTERNA DE 2,0MM PB</t>
  </si>
  <si>
    <t>QUADRO ELÉTRICO COM BOTOEIRA E LAMPADAS SINALIZADORAS</t>
  </si>
  <si>
    <t>LETREIRO COM OS DIZERES "CENTRO DE DIAGNÓSTICOS" EM PVC NA COR BRANCA MEDINDO 30CM DE ALTURA INSTALADO EM FACHADA</t>
  </si>
  <si>
    <t>22.</t>
  </si>
  <si>
    <t xml:space="preserve">VISOR EM CAIXILHO E AÇO BLINDADO INTERNAMENTE COM VIDRO PLUMBÍFERO, NAS DIMENSÕES 100X70CM - FORNECIMENTO </t>
  </si>
  <si>
    <t>PROJETO, TESTE DE ESTANQUEIDADE, EXECUÇÃO E FORNECIMENTO DE MATERIAIS DE REDE DE GASES MEDICINAIS EM CENTRO DE DIAGNÓSTICOS</t>
  </si>
  <si>
    <t>26.592.223/0001-89</t>
  </si>
  <si>
    <t>PROJETO X</t>
  </si>
  <si>
    <t>(11) 2636-7132</t>
  </si>
  <si>
    <t>SHIRLEY</t>
  </si>
  <si>
    <t>34.136.566/0001-67</t>
  </si>
  <si>
    <t>SP BLINDAGEM RADIOLÓGICA</t>
  </si>
  <si>
    <t>(11) 98822-1536</t>
  </si>
  <si>
    <t>ALINE MORÃO</t>
  </si>
  <si>
    <t>08.545.823/0001-04</t>
  </si>
  <si>
    <t>ION INDUSTRIAL</t>
  </si>
  <si>
    <t>(11) 993714-0058</t>
  </si>
  <si>
    <t>MEIRY</t>
  </si>
  <si>
    <t>47.960.950/1088-36</t>
  </si>
  <si>
    <t>MAGAZINE LUIZA</t>
  </si>
  <si>
    <t>31.798.742/0001]38</t>
  </si>
  <si>
    <t>ENGEBLIND</t>
  </si>
  <si>
    <t>(11) 98109-6144</t>
  </si>
  <si>
    <t>15.459.431/0001-98</t>
  </si>
  <si>
    <t>SERTÃO</t>
  </si>
  <si>
    <t> 01.438.784/0048-60</t>
  </si>
  <si>
    <t>02.264.256/0001-31</t>
  </si>
  <si>
    <t>ACQUAFORT</t>
  </si>
  <si>
    <t>ELETROLED'S</t>
  </si>
  <si>
    <t>23.429.903/0001-98</t>
  </si>
  <si>
    <t>ILUMINIM</t>
  </si>
  <si>
    <t>SIITE</t>
  </si>
  <si>
    <t>32.372.899/0001-60</t>
  </si>
  <si>
    <t>RC VIDROS</t>
  </si>
  <si>
    <t>(67) 98182-3304</t>
  </si>
  <si>
    <t>14.667.856/0001-20</t>
  </si>
  <si>
    <t>VIDROLINE</t>
  </si>
  <si>
    <t>(67) 3342-3864</t>
  </si>
  <si>
    <t>ADELINO</t>
  </si>
  <si>
    <t>28.235.368/0001-58</t>
  </si>
  <si>
    <t>GAÚCHA CONSTRUÇÕES ELÉTRICAS</t>
  </si>
  <si>
    <t>(67) 9998-6081</t>
  </si>
  <si>
    <t>VALCIR</t>
  </si>
  <si>
    <t>(67) 99224-6122</t>
  </si>
  <si>
    <t>31.390.746/0001-82</t>
  </si>
  <si>
    <t xml:space="preserve">NEXXO </t>
  </si>
  <si>
    <t>(67) 99125-1238</t>
  </si>
  <si>
    <t>EDSON</t>
  </si>
  <si>
    <t>037521060/0001-60</t>
  </si>
  <si>
    <t>LUMISETE</t>
  </si>
  <si>
    <t>(67) 99629-7968</t>
  </si>
  <si>
    <t>ROSANA</t>
  </si>
  <si>
    <t>12.415.640/0001-41</t>
  </si>
  <si>
    <t>JE BLINDAGEM</t>
  </si>
  <si>
    <t>(11) 96410-4087</t>
  </si>
  <si>
    <t>JOSE CARLOS</t>
  </si>
  <si>
    <t>26.782.389/0001-68</t>
  </si>
  <si>
    <t>BLINDAMAIS</t>
  </si>
  <si>
    <t>(21) 98106-8000</t>
  </si>
  <si>
    <t>FRANCISCO</t>
  </si>
  <si>
    <t>29.016.1153/0001-09</t>
  </si>
  <si>
    <t>BG</t>
  </si>
  <si>
    <t>(11) 99401-5081</t>
  </si>
  <si>
    <t>ALEXANDRE</t>
  </si>
  <si>
    <t>LUMINÁRIA LED QUADRADO DE EMBUTIR, 36W 3000K</t>
  </si>
  <si>
    <t xml:space="preserve">LUMINÁRIA LED QUADRADO DE EMBUTIR, 48W 300K - 60X60 </t>
  </si>
  <si>
    <t>PELE DE VIDRO FIXO NAS DIMENSÕES 180X230CM EM ALUMÍNIO/VIDRO - LAMINADO 8MM INCOLOR</t>
  </si>
  <si>
    <t>PELE DE VIDRO FIXO NAS DIMENSÕES 290X230CM EM ALUMÍNIO/VIDRO - LAMINADO 8MM INCOLOR</t>
  </si>
  <si>
    <t>PORTA DE CORRER AUTOMÁTICA, EM VIDRO TEMPERADO INCOLOR 8MM, 4 FOLHAS (2 MOVEIS E DUAS FIXAS), COM BATE FECHA, NAS DIMENSÕES 250X210CM</t>
  </si>
  <si>
    <t>07.327.325/0001-22</t>
  </si>
  <si>
    <t>VIEW TECH</t>
  </si>
  <si>
    <t>PORTA DE CORRER, EM VIDRO TEMPERADO INCOLOR 8MM, 4 FOLHAS (2 MOVEIS E DUAS FIXAS), COM BATE FECHA, NAS DIMENSÕES 250X210CM - FORNECIMENTO E INSTALAÇÃO</t>
  </si>
  <si>
    <t>Total geral: 21</t>
  </si>
  <si>
    <t>ANTE-CÂMARA</t>
  </si>
  <si>
    <t>BANHEIRO FEMININO</t>
  </si>
  <si>
    <t>BANHEIRO MASCULINO</t>
  </si>
  <si>
    <t>CONSULTÓRIO MÉDICO</t>
  </si>
  <si>
    <t>DEPÓSITO DE MATERIAL E EQUIPAMENTOS</t>
  </si>
  <si>
    <t>EXPURGO</t>
  </si>
  <si>
    <t>LEITO UTI</t>
  </si>
  <si>
    <t>LEITO UTI ISOLAMENTO</t>
  </si>
  <si>
    <t>OSMOSE REVERSA</t>
  </si>
  <si>
    <t>POLTRONA DE HEMODIÁLISE</t>
  </si>
  <si>
    <t>QUARTO PLANTONISTA</t>
  </si>
  <si>
    <t>SALA DE ESPERA</t>
  </si>
  <si>
    <t>SALA DE RECUPERAÇÃO</t>
  </si>
  <si>
    <t>UTILIDADES</t>
  </si>
  <si>
    <t>VESTIÁRIO FEM.</t>
  </si>
  <si>
    <t>VESTIÁRIO MAS.</t>
  </si>
  <si>
    <t>WC ISOLAMENTO</t>
  </si>
  <si>
    <t>WC PACIENTE PCD 1</t>
  </si>
  <si>
    <t>WC PACIENTE PCD 2</t>
  </si>
  <si>
    <t>004 - REVESTIMENTO LAMINADO</t>
  </si>
  <si>
    <t>PORTA EM ALUMÍNIO DE ABRIR, LISA, 1 FOLHA PARA PINTURA, PADRÃO MÉDIO, COM GUARNIÇÃO, FIXAÇÃO COM PARAFUSOS - FORNECIMENTO E INSTALAÇÃO</t>
  </si>
  <si>
    <t>14.35</t>
  </si>
  <si>
    <t>PELE DE VIDRO FIXO NAS DIMENSÕES 300x280CM EM ALUMÍNIO/VIDRO
LAMINADO 8MM INCOLOR - FORNECIMENTOE INSTALAÇÃO</t>
  </si>
  <si>
    <t xml:space="preserve">APROVAÇÃO DE PROJETO, CONSTRUÇÃO E MONTAGEM DE TRANSFORMADOR DE DISTRIBUIÇÃO, 500 KVA, TRIFÁSICO,  380/220 VOLTS </t>
  </si>
  <si>
    <t>ACABAMENTO PARA VÃLVULA DE DESCARGA 1 1/2" E 1 1/4", BENEFIT - DocolSystem</t>
  </si>
  <si>
    <t>Bolsa tubo reto para bacia convencional (00638), linha Complementos - Metais Celite</t>
  </si>
  <si>
    <t>Caixa dâ€™Ã¡gua de fibra de vidro, 2000L - FortLev</t>
  </si>
  <si>
    <t>14.17</t>
  </si>
  <si>
    <t>LAVATORIO/CUBA DE EMBUTIR OVAL LOUCA BRANCA SEM LADRAO *50 X 35* CM - REF. SINAPI 20269</t>
  </si>
  <si>
    <t>MICTÃ“RIO SIFONADO LOUCA BRANCA - REF. SINAPI 10432</t>
  </si>
  <si>
    <t>H6-13</t>
  </si>
  <si>
    <t>Restritor de vazÃ£o 12L/min para chuveiro SIMPLES</t>
  </si>
  <si>
    <t>VASO SANITARIO SIFONADO CONVENCIONAL COM LOUÃ‡A BRANCA</t>
  </si>
  <si>
    <t>VASO SANITARIO SIFONADO PCD SEM FURO COM LOUÃ‡A BRANCA</t>
  </si>
  <si>
    <t>15.50</t>
  </si>
  <si>
    <t>BANCO ARTICULADO, EM ACO INOX, PARA PCD, FIXADO NA PAREDE</t>
  </si>
  <si>
    <t>15.51</t>
  </si>
  <si>
    <t>BARRA DE APOIO EM "L", EM ACO INOX POLIDO 70 X 70 CM, FIXADA NA PAREDE</t>
  </si>
  <si>
    <t>Midmark 647 Barrier Free Power Podiatry Procedures Chair</t>
  </si>
  <si>
    <t>08 - DOOR - FRAME</t>
  </si>
  <si>
    <t>Areia</t>
  </si>
  <si>
    <t>CONCRETO IN LOCO</t>
  </si>
  <si>
    <t>CONTRAPISO EM ARGAMASSA TRAÃ‡O 1:4</t>
  </si>
  <si>
    <t>Granito Cinza CorumbÃ¡</t>
  </si>
  <si>
    <t>LASTRO DE CONCRETO</t>
  </si>
  <si>
    <t>Pintura Branca para piso</t>
  </si>
  <si>
    <t>PISO COM PLACAS  60 x 60</t>
  </si>
  <si>
    <t>PISO EM ASFALTO</t>
  </si>
  <si>
    <t>PISO MANTA VINILICA CINZA</t>
  </si>
  <si>
    <t>PISO MANTA VINÃLICA AZUL</t>
  </si>
  <si>
    <t>PISO MANTA VINÃLICA VERDE</t>
  </si>
  <si>
    <t>PISO MARMORITE OU GRANITINA</t>
  </si>
  <si>
    <t>Ãrea Permeavel</t>
  </si>
  <si>
    <t>06.061.572/0001-67</t>
  </si>
  <si>
    <t>PERMUTION</t>
  </si>
  <si>
    <t>(41) 99949-2526</t>
  </si>
  <si>
    <t>LARIANE</t>
  </si>
  <si>
    <t>00.275.763/0001-45</t>
  </si>
  <si>
    <t>MINASMED FILTROS</t>
  </si>
  <si>
    <t>(31) 99841-0918</t>
  </si>
  <si>
    <t>LEONARDO</t>
  </si>
  <si>
    <t>24.139.904/0001-60</t>
  </si>
  <si>
    <t>SICA INOX</t>
  </si>
  <si>
    <t>(41) 99878-6921</t>
  </si>
  <si>
    <t>POLIANE</t>
  </si>
  <si>
    <t>21.202.258/0001-40</t>
  </si>
  <si>
    <t>ZERO 41 LED</t>
  </si>
  <si>
    <t>31.045.804/0001-30</t>
  </si>
  <si>
    <t>ESQUADRIAS SÃO CHINE</t>
  </si>
  <si>
    <t>(67) 99104-8204</t>
  </si>
  <si>
    <t>MARCELO</t>
  </si>
  <si>
    <t>22.162.660/0001-01</t>
  </si>
  <si>
    <t>ESQUADRIAS GUAÇU</t>
  </si>
  <si>
    <t>(67) 3305-3927</t>
  </si>
  <si>
    <t>CAIQUE</t>
  </si>
  <si>
    <t>41.513.712/0001-91</t>
  </si>
  <si>
    <t>KS ESQUADRIAS</t>
  </si>
  <si>
    <t>(67) 3211-1789</t>
  </si>
  <si>
    <t>DANIEL</t>
  </si>
  <si>
    <t>10.618.016/0001-16</t>
  </si>
  <si>
    <t>GERAFORTE</t>
  </si>
  <si>
    <t>(67) 98484-2803</t>
  </si>
  <si>
    <t>DIAGNOSE</t>
  </si>
  <si>
    <t>92.753.268/0001-12</t>
  </si>
  <si>
    <t>STEMAC</t>
  </si>
  <si>
    <t>(51) 99358-8039</t>
  </si>
  <si>
    <t>ELIANE</t>
  </si>
  <si>
    <t>C27</t>
  </si>
  <si>
    <t>55.392.005/0001-07</t>
  </si>
  <si>
    <t>KIMARKI</t>
  </si>
  <si>
    <t>(11) 2914-8388</t>
  </si>
  <si>
    <t>DOUGLAS</t>
  </si>
  <si>
    <t>C28</t>
  </si>
  <si>
    <t>C29</t>
  </si>
  <si>
    <t>C30</t>
  </si>
  <si>
    <t>CAIXA D'ÁGUA EM POLIETILENO 3000 LITROS, INCLUSO BOIA E ACESSÓRIOS</t>
  </si>
  <si>
    <t>BANCADA DE REUSO PARA CAPILARES EM POLIETILENO ROTOMOLDADO COM CUBA COM ESPESSURA DE 5MM E DUAS TORNEIRAS COM MÃO FRANCESA EM ALUMÍNIO</t>
  </si>
  <si>
    <t>FITA DE LED - 18W/M L=5METROS</t>
  </si>
  <si>
    <t>PORTA EM ALUMÍNIO DE ABRIR 1,20X2,10M, 2 FOLHAS PARA PINTURA, PADRÃO MÉDIO, COM GUARNIÇÃO, FIXAÇÃO COM PARAFUSOS  - FORNECIMENTO E INSTALAÇÃO</t>
  </si>
  <si>
    <t xml:space="preserve">APROVAÇÃO DE PROJETO, CONSTRUÇÃO DE CABINE FORNECIMENTO DE MATERIAIS E MONTAGEM DE GERADOR DE DISTRIBUIÇÃO, 400 KVA, TRIFÁSICO,  380/220 VOLTS </t>
  </si>
  <si>
    <t>23.</t>
  </si>
  <si>
    <t>24.</t>
  </si>
  <si>
    <t>25.</t>
  </si>
  <si>
    <t>PROCESSAMENTO DIALISADORES CONTAMINADOS HEPATITE B</t>
  </si>
  <si>
    <t>PROCESSAMENTO DIALISADORES CONTAMINADOS HEPATITE C</t>
  </si>
  <si>
    <t>PROCESSAMENTO DIALISADORES NÃO CONTAMINADOS</t>
  </si>
  <si>
    <t>J6</t>
  </si>
  <si>
    <t>85.014.793/0001-50</t>
  </si>
  <si>
    <t>ELETRORASTRO</t>
  </si>
  <si>
    <t>30.594.025/0001-21</t>
  </si>
  <si>
    <t>COMPRA LED</t>
  </si>
  <si>
    <t>07.196.106/0001-51</t>
  </si>
  <si>
    <t>CRISTAL VIDROS</t>
  </si>
  <si>
    <t>(67) 3351-5555</t>
  </si>
  <si>
    <t>ANDRE</t>
  </si>
  <si>
    <t>15.706.824/0001-59</t>
  </si>
  <si>
    <t>GENERAC</t>
  </si>
  <si>
    <t>(67) 99333-2654</t>
  </si>
  <si>
    <t>JOSE LUIZ</t>
  </si>
  <si>
    <t>37.567.864/0001-08</t>
  </si>
  <si>
    <t>(67) 99838-6635</t>
  </si>
  <si>
    <t>EDER</t>
  </si>
  <si>
    <t>C33</t>
  </si>
  <si>
    <t>C35</t>
  </si>
  <si>
    <t>C36</t>
  </si>
  <si>
    <t>C37</t>
  </si>
  <si>
    <t>C38</t>
  </si>
  <si>
    <t>C39</t>
  </si>
  <si>
    <t>C40</t>
  </si>
  <si>
    <t>C41</t>
  </si>
  <si>
    <t>21.642.563/0001-53</t>
  </si>
  <si>
    <t>NELSON VIDROS</t>
  </si>
  <si>
    <t>(67) 3324-8308</t>
  </si>
  <si>
    <t>PAULA</t>
  </si>
  <si>
    <t>19.365.983/0001-98</t>
  </si>
  <si>
    <t>HIDRO ECO BR</t>
  </si>
  <si>
    <t>09.353.055/0001-50</t>
  </si>
  <si>
    <t>TECNO FERRAMENTAS</t>
  </si>
  <si>
    <t>17.155.342/0010-74</t>
  </si>
  <si>
    <t>LOJA ELETRICA LTDA</t>
  </si>
  <si>
    <t>15.333.564/0001-13</t>
  </si>
  <si>
    <t>MABORE</t>
  </si>
  <si>
    <t>CASA DOS PARAFUSOS</t>
  </si>
  <si>
    <t>33.251.614/0001-03</t>
  </si>
  <si>
    <t>ORUBY</t>
  </si>
  <si>
    <t>19.412.512/0001-93</t>
  </si>
  <si>
    <t>03.590.055/0001-97</t>
  </si>
  <si>
    <t>ELETRO CENTER</t>
  </si>
  <si>
    <t>ELETRICA POLO</t>
  </si>
  <si>
    <t>(67) 3348-5811</t>
  </si>
  <si>
    <t>LUIZ</t>
  </si>
  <si>
    <t>05.434.101/0001-94</t>
  </si>
  <si>
    <t>Total geral: 1</t>
  </si>
  <si>
    <t>005 - RODAPÉ CERÂMICO</t>
  </si>
  <si>
    <t>15.52</t>
  </si>
  <si>
    <t>BARRA DE APOIO HORIZONTAL EM AÃ‡O INOX, 20CM</t>
  </si>
  <si>
    <t>BARRA DE APOIO RETA, EM ACO INOX POLIDO, COMPRIMENTO 40CM 40CM, DIAMETRO MINIMO 3CM</t>
  </si>
  <si>
    <t>CUBA DE EMBUTIR DE AÃ‡O INOXIDÃVEL INDUSTRIAL, NAS DIMENSÃ•ES  50X40X30CM</t>
  </si>
  <si>
    <t>LAVATÃ“RIO COM COLUNA SUSPENSA, LOUÃ‡A. REF.: CELITE 64202</t>
  </si>
  <si>
    <t>Restritor de vazÃ£o para 6L/min torneiras e misturadores</t>
  </si>
  <si>
    <t>14.43</t>
  </si>
  <si>
    <t>CUSTO UNITÁRIO C/BDI S/ DES</t>
  </si>
  <si>
    <t>CUSTO UNITÁRIO S/ DES</t>
  </si>
  <si>
    <t>CUSTO TOTAL C/ BDI S/ DES</t>
  </si>
  <si>
    <t>14.30</t>
  </si>
  <si>
    <t>LAVATÃ“RIO COM COLUNA SUSPENSA, LOUÃ‡A. REF.: CELITE 64202 - AMPLIAÃ‡ÃƒO</t>
  </si>
  <si>
    <t>TORNEIRA CROMADA DE MESA PARA LAVATORIO, BICA ALTA - AMPLIAÃ‡ÃƒO</t>
  </si>
  <si>
    <t>POSTO DE ENFERMAGEM</t>
  </si>
  <si>
    <t>Gases Medicinais</t>
  </si>
  <si>
    <t>TUBO COBRE RIGIDO CLASSE A 15mm</t>
  </si>
  <si>
    <t>TUBO COBRE RIGIDO CLASSE A 28mm</t>
  </si>
  <si>
    <t xml:space="preserve"> COTOVELO 90 COBRE REF. 607 28mm</t>
  </si>
  <si>
    <t>COTOVELO 90 COBRE REF. 607 15mm</t>
  </si>
  <si>
    <t>BUCHA DE REDUCAO COBRE SEM ANEL 28x15mm</t>
  </si>
  <si>
    <t>VALVULA GLOBO 1"" PARA TUBULACAO COBRE 28mm</t>
  </si>
  <si>
    <t>PAINEL DE ALARME MICROPROCESSADO DE OXIGÊNIO, PROTEC OU SIMILAR</t>
  </si>
  <si>
    <t>PAINEL DE ALARME MICROPROCESSADO DE AR COMPRIMIDO, PROTEC OU SIMILAR</t>
  </si>
  <si>
    <t>PAINEL DE ALARME MICROPROCESSADO DE ÓXIDO NITROSO, PROTEC OU SIMILAR</t>
  </si>
  <si>
    <t>PAINEL DE ALARME MICROPROCESSADO DE VÁCUO, PROTEC OU SIMILAR</t>
  </si>
  <si>
    <t>TE EM COBRE, DN 28MM, SEM ANEL DE SOLDA, INSTALADO EM RAMAL DE DISTRI</t>
  </si>
  <si>
    <t>TE EM COBRE, DN 15 MM, SEM ANEL DE SOLDA, INSTALADO EM RAMAL DE DISTRI</t>
  </si>
  <si>
    <t>CANALETA A CEU ABERTO EM ALVENARIA DE TIJOLO MACICO DE 1/2 VEZ COM LARGURA DE 30CM E PROFUNDIDADE DE 30CM - ANEXO H.S.-087 (A.P.) /M</t>
  </si>
  <si>
    <t>TAMPA PLACA CONCRETO MOLDADA NA OBRA ESPESSURA 10cm</t>
  </si>
  <si>
    <t>CENTRAIS DE GASES E VACUO</t>
  </si>
  <si>
    <t>TESTE DE ESTANQUEIDADE COM LOCALIZAÇÃO DE TAMPONAMENTO DE FUGAS NA REDE DE OXIGENIO, AR MEDICINAL E VÁCUO CLÍNICO. INCLUSO EMISSÃO DE LAUDO E ART.</t>
  </si>
  <si>
    <t>VALVULA REGULADORA PARA OXIGENIO, AR COMPRIMIDO, VACUO</t>
  </si>
  <si>
    <t>CAIXA DE SECCIONAMENTO DE GASES</t>
  </si>
  <si>
    <t>REGUA MEDICINAL</t>
  </si>
  <si>
    <t>PINTURA DE TUBULAÇÃO APARENTE ATÉ 3/4</t>
  </si>
  <si>
    <t>LEANDRO</t>
  </si>
  <si>
    <t>S/DESONERAÇÃO</t>
  </si>
  <si>
    <t>____________________________________  
Fábio Marques Ribeiro
CREA - 15276 D / MS</t>
  </si>
  <si>
    <t xml:space="preserve">BDI S/DES: </t>
  </si>
  <si>
    <t>CRONOGRAMA FÍSICO FINANCEIRO - SEM DESONERAÇÃO</t>
  </si>
  <si>
    <t>P9</t>
  </si>
  <si>
    <t>P10</t>
  </si>
  <si>
    <t>ACONDICIONAMENTO DE DIALIZADORES</t>
  </si>
  <si>
    <t>ADMINISTRAÇÃO E ENTREVISTA</t>
  </si>
  <si>
    <t>CIRCULAÇÃO 1</t>
  </si>
  <si>
    <t>CIRCULAÇÃO 2</t>
  </si>
  <si>
    <t>CIRCULAÇÃO FUNCIONÁRIOS</t>
  </si>
  <si>
    <t>CIRCULAÇÃO GERAL</t>
  </si>
  <si>
    <t>CONSULTÓRIO MULTIPROFISSIONAL</t>
  </si>
  <si>
    <t>CONSULTÓRIO MÉDICO NEFROLOGISTA</t>
  </si>
  <si>
    <t>DEPÓSITO DE ARMAZENAMENTO DAS SOLUÇÕES</t>
  </si>
  <si>
    <t>GUARDA PERTENCES</t>
  </si>
  <si>
    <t>POSTO ENFERMAGEM</t>
  </si>
  <si>
    <t>PROCESSAMENTO DE DIALISADORES</t>
  </si>
  <si>
    <t>REPOUSO ENFERMAGEM</t>
  </si>
  <si>
    <t>TREINAMENTO DIÁLISE PERITONEAL</t>
  </si>
  <si>
    <t>WC FUNC    FEM</t>
  </si>
  <si>
    <t>WC FUNC    MAS</t>
  </si>
  <si>
    <t>WC PCD FEM</t>
  </si>
  <si>
    <t>WC PCD MAS</t>
  </si>
  <si>
    <t>WC PCD PACIENTES</t>
  </si>
  <si>
    <t>ÁREA DE MACAS E CADEIRAS DE RODAS</t>
  </si>
  <si>
    <t>J7</t>
  </si>
  <si>
    <t>Total geral: 20</t>
  </si>
  <si>
    <t>Total geral: 57</t>
  </si>
  <si>
    <t>Total geral: 14</t>
  </si>
  <si>
    <t>Total geral: 19</t>
  </si>
  <si>
    <t>TORNEIRA BICA BAIXA DEFICIENTE PNE AUTOMÃTICA COM ALAVANCA</t>
  </si>
  <si>
    <t>LAVATÃ“RIO DE ESCOVAÃ‡ÃƒO EM INOX COM TORNEIRA</t>
  </si>
  <si>
    <t>Total geral: 46</t>
  </si>
  <si>
    <t>005 -  PISO MANTA VINILICA</t>
  </si>
  <si>
    <t>005 - RODAPÉ VINILICO</t>
  </si>
  <si>
    <t>007 - PINTURA ESMALTE SINTÉTICO EM MADEIRA - PORTAS</t>
  </si>
  <si>
    <t>Total geral: 3</t>
  </si>
  <si>
    <t>WC FUNC FEM</t>
  </si>
  <si>
    <t>WC FUNC MAS</t>
  </si>
  <si>
    <t>ÁREA REVESTIMENTO (M2)</t>
  </si>
  <si>
    <t>xfçlgfgbowsrglrw</t>
  </si>
  <si>
    <t>14.51</t>
  </si>
  <si>
    <t>foi considerado no 14.30</t>
  </si>
  <si>
    <t>......</t>
  </si>
  <si>
    <t xml:space="preserve">BDI DIF. S/DES: </t>
  </si>
  <si>
    <t xml:space="preserve">BDI DIF.  C/DES: </t>
  </si>
  <si>
    <t>REFERENCIA</t>
  </si>
  <si>
    <t xml:space="preserve">UNIDADE </t>
  </si>
  <si>
    <t xml:space="preserve">TOTAL:  </t>
  </si>
  <si>
    <t xml:space="preserve">TOTAL: </t>
  </si>
  <si>
    <t>CT01</t>
  </si>
  <si>
    <t xml:space="preserve">LARGURA X ALTURA </t>
  </si>
  <si>
    <t>P01</t>
  </si>
  <si>
    <t>PORTA EM ALUMÍNIO, 182X210CM, 2 FOLHAS DE ABRIR, COM VISOR EM VIDRO, REQUADRO E GUARNICAO COMPLETA</t>
  </si>
  <si>
    <t>P02</t>
  </si>
  <si>
    <t>PORTA DE MADEIRA,90X210CM, 1 FOLHA, LISA, ABRIR, PINTURA NA COR BRANCA</t>
  </si>
  <si>
    <t>P03</t>
  </si>
  <si>
    <t>PORTA DE MADEIRA 80X210CM,1 FOLHA, LISA, ABRIR, PINTURA NA COR BRANCA</t>
  </si>
  <si>
    <t>P04</t>
  </si>
  <si>
    <t>PORTA DE MADEIRA 90X210CM PCD,1 FOLHA, LISA, ABRIR, COM PUXADOR E CHAPA ANTI-IMPACTO, PINTURA NA COR BRANCA</t>
  </si>
  <si>
    <t>P05</t>
  </si>
  <si>
    <t>PORTA DE MADEIRA 84X210CM, 1 FOLHA, LISA, DE CORRER, PINTURA COR BRANCA</t>
  </si>
  <si>
    <t>P06</t>
  </si>
  <si>
    <t>PORTA EM ALUMÍNIO 70X160CM, VENEZIANA PERFURADA DE ABRIR UMA FOLHA</t>
  </si>
  <si>
    <t>P07</t>
  </si>
  <si>
    <t>PORTA EM ALUMÍNIO,120X210CM, 2 FOLHAS, DE ABRIR, COM REQUADRO E GUARNICAO COMPLETA</t>
  </si>
  <si>
    <t>COD</t>
  </si>
  <si>
    <t>PEITORIL</t>
  </si>
  <si>
    <t>DESCRICAO</t>
  </si>
  <si>
    <t>J02</t>
  </si>
  <si>
    <t>JANELA MAXIM-AR 250X60CM, EM ALUMINIO E VIDRO, 4 MÓDULOS</t>
  </si>
  <si>
    <t>J03</t>
  </si>
  <si>
    <t>JANELA MAXIM-AR 120X60CM, EM ALUMINIO E VIDRO, 2 MÓDULOS</t>
  </si>
  <si>
    <t>J04</t>
  </si>
  <si>
    <t>J05</t>
  </si>
  <si>
    <t>JANELA MAXIM-AR 100X60CM, EM ALUMINIO E VIDRO, 4 MÓDULOS</t>
  </si>
  <si>
    <t>J06</t>
  </si>
  <si>
    <t>JANELA DE CORRER 160X107CM, EM ALUMINIO E VIDRO, 4 FOLHAS</t>
  </si>
  <si>
    <t>ADM/ ENTREVISTA</t>
  </si>
  <si>
    <t>ANTE-CAMARA</t>
  </si>
  <si>
    <t>CIRCULAÇÃO EXISTENTE</t>
  </si>
  <si>
    <t>CIRCULAÇÃO GERAL - UTI</t>
  </si>
  <si>
    <t>ESPERA UTI</t>
  </si>
  <si>
    <t>HALL ENTRADA UTI</t>
  </si>
  <si>
    <t>JARDIM</t>
  </si>
  <si>
    <t>Não colocado</t>
  </si>
  <si>
    <t>LEITO DE UTI ISOLAMENTO</t>
  </si>
  <si>
    <t>LEITO UTI 1</t>
  </si>
  <si>
    <t>LEITO UTI 2</t>
  </si>
  <si>
    <t>LEITO UTI 3</t>
  </si>
  <si>
    <t>LEITO UTI 4</t>
  </si>
  <si>
    <t>LEITO UTI 5</t>
  </si>
  <si>
    <t>LEITO UTI 6</t>
  </si>
  <si>
    <t>LEITO UTI 7</t>
  </si>
  <si>
    <t>LEITO UTI 8</t>
  </si>
  <si>
    <t>LEITO UTI 9</t>
  </si>
  <si>
    <t>PARAMENTAÇÃO MÉDICOS</t>
  </si>
  <si>
    <t>POSTO DE ENFERMAGEM E SERVIÇOS</t>
  </si>
  <si>
    <t>REPOUSO ENFERMAGEM E PLANTONISTAS</t>
  </si>
  <si>
    <t>VEST FEM.</t>
  </si>
  <si>
    <t>VEST MAS.</t>
  </si>
  <si>
    <t>WC 1 EXISTENTE</t>
  </si>
  <si>
    <t>WC PACIENTE PCD FEM.</t>
  </si>
  <si>
    <t>WC PACIENTE PCD MAS.</t>
  </si>
  <si>
    <t>WC PCD 1</t>
  </si>
  <si>
    <t xml:space="preserve">Total geral: </t>
  </si>
  <si>
    <t>P08</t>
  </si>
  <si>
    <t>PORTA EM ALUMÍNIO, 120X210CM, 2 FOLHAS DE ABRIR, COM VISOR EM VIDRO, REQUADRO E GUARNICAO COMPLETA</t>
  </si>
  <si>
    <t>P09</t>
  </si>
  <si>
    <t>PORTINHOLA EM ALUMÍNIO, 70X80CM, 1 FOLHA DE ABRIR, PARA ACESSO A CAIXA DÁGUA</t>
  </si>
  <si>
    <t>PORTA VENEZIANA EM FERRO, 180X210CM, 2 FOLHAS DE ABRIR PARA ACESSO AO ABRIGO DE GASES</t>
  </si>
  <si>
    <t>4M3 CAÇMABA</t>
  </si>
  <si>
    <t>QUANITADE</t>
  </si>
  <si>
    <t>ESTACAS</t>
  </si>
  <si>
    <t>JANELA MAXIM-AR 150X60CM, EM ALUMINIO E VIDRO, 4 MÓDULOS</t>
  </si>
  <si>
    <t>C84</t>
  </si>
  <si>
    <t>DEMONSTRAÇÃO DE BDI 1 - SEM DESONERAÇÃO - Acórdão 2622/2013</t>
  </si>
  <si>
    <t>PREFEITURA MUNICIPAL DE IVINHEMA</t>
  </si>
  <si>
    <t>IVINHEMA - MS</t>
  </si>
  <si>
    <t>JULIANO FERRO BARROS DONATO</t>
  </si>
  <si>
    <t>PREFEITURA MUNICIPAL DE SÃO GABRIEL DO OESTE</t>
  </si>
  <si>
    <t>SÃO GABRIEL DO OESTE - MS</t>
  </si>
  <si>
    <t>CHECK LIST PARA ORÇAMENTO</t>
  </si>
  <si>
    <t xml:space="preserve">PROJETO: </t>
  </si>
  <si>
    <t>PROJETISTA:</t>
  </si>
  <si>
    <t xml:space="preserve">MUNÍCIPIO: </t>
  </si>
  <si>
    <t>PROGRESSO</t>
  </si>
  <si>
    <t>PLANILHA ORÇAMENTÁRIA</t>
  </si>
  <si>
    <t>Conferir PROCV (SINAPI/AGESUL)</t>
  </si>
  <si>
    <t>Conferir planilha com as composições</t>
  </si>
  <si>
    <t>Conferir planilha com a memória de cálculo</t>
  </si>
  <si>
    <t>Conferir planilha com as cotações</t>
  </si>
  <si>
    <t>Conferir o custo dos serviços referentes ao SBC</t>
  </si>
  <si>
    <t>Conferir cabeçalho (planilha, composição, memorial, cotações bdi e cronograma)</t>
  </si>
  <si>
    <t>Conferir se o nome do objeto está compativel com os projetos</t>
  </si>
  <si>
    <t>Verificar localização da obra e se há necessidade de incluir alojamento e melhorar o canteiro de obras;</t>
  </si>
  <si>
    <t>Verificar formatação de texto e cores</t>
  </si>
  <si>
    <t>Verificar os referencias se estão compativeis com os servicos</t>
  </si>
  <si>
    <t>Revisar somatórias antes de gerar PDF</t>
  </si>
  <si>
    <t>Verificar as unidades dos serviços</t>
  </si>
  <si>
    <t>Verificar a numeração das composições e cotações</t>
  </si>
  <si>
    <t>Verificar a data base do orçamento se está compativel com o cabeçalho</t>
  </si>
  <si>
    <t>Verificar se o BDI está dentro dos quartis estabelecidos pelo tcu</t>
  </si>
  <si>
    <t>Conferir descrição das composições e cotaçao</t>
  </si>
  <si>
    <t>Ocultar coluna "E" codigos ENGELUGA</t>
  </si>
  <si>
    <t>Verificar o prazo do cronograma com o cabeçalho do orçamento</t>
  </si>
  <si>
    <t>Gerar itens de maiores relevancias</t>
  </si>
  <si>
    <t>Gerar quadro resumo</t>
  </si>
  <si>
    <t>Criar pasta licitação</t>
  </si>
  <si>
    <t xml:space="preserve">DESCRIÇÃO  </t>
  </si>
  <si>
    <t>ROBERTA</t>
  </si>
  <si>
    <t>ITENS DE MAIOR RELEVÂNCIA</t>
  </si>
  <si>
    <t>PREFEITURA MUNICIPAL DE MIRANDA</t>
  </si>
  <si>
    <t>MIRANDA - MS</t>
  </si>
  <si>
    <t>PREFEITURA MUNICIPAL DE SANTA RITA DO PARDO</t>
  </si>
  <si>
    <t>SANTA RITA DO PARDO - MS</t>
  </si>
  <si>
    <t>PREFEITURA MUNICIPAL DE SIDROLANDIA</t>
  </si>
  <si>
    <t>SIDROLANDIA - MS</t>
  </si>
  <si>
    <t>INSTALAÇÃO PROVISÓRIA DE ÁGUA E ESGOTO</t>
  </si>
  <si>
    <t>29.315.836/0001-67</t>
  </si>
  <si>
    <t>ORCITEC SERVIÇOS TÉCNICOS LTDA</t>
  </si>
  <si>
    <t>ORCILEY</t>
  </si>
  <si>
    <t>(67) 99206-4361</t>
  </si>
  <si>
    <t>38.707.917/0001-01</t>
  </si>
  <si>
    <t>AD EMPREENDIMENTOS E ENG</t>
  </si>
  <si>
    <t>BRUNO</t>
  </si>
  <si>
    <t>44.445.224/0001-82</t>
  </si>
  <si>
    <t>SOUZA DOS SANTOS CONSTRUTORA</t>
  </si>
  <si>
    <t>(67) 99690-7779</t>
  </si>
  <si>
    <t>FABRICAÇÃO E INSTALAÇÃO DE PONTO DE ÔNIBUS EM ESTRUTURA METÁLICA PINTADA COM FECHAMENTO TRASEIRO E COM COBERTURA CONTENDO PLACAS METÁLICAS</t>
  </si>
  <si>
    <t>PISO INTERTRAVADO</t>
  </si>
  <si>
    <t>KM</t>
  </si>
  <si>
    <t>2.1.1</t>
  </si>
  <si>
    <t>2.1.1.1</t>
  </si>
  <si>
    <t>CPU02</t>
  </si>
  <si>
    <t>INSTALACAO PROVISORIA DE LUZ E FORCA COM MEDIDOR E POSTE</t>
  </si>
  <si>
    <t>RIBAS DO RIO PARDO</t>
  </si>
  <si>
    <t>_________________________________
FÁBIO MARQUES RIBEIRO
CREA - 15.276 D</t>
  </si>
  <si>
    <t>2.1.1.2</t>
  </si>
  <si>
    <t>2.1.1.3</t>
  </si>
  <si>
    <t>PROFUNDIDADE</t>
  </si>
  <si>
    <t>COMPRIMENTO TOTAL</t>
  </si>
  <si>
    <t>QUANTIDADE X PROFUNDIDADE</t>
  </si>
  <si>
    <t>VOLUME CONCRETO</t>
  </si>
  <si>
    <t>PORCENTAGEM</t>
  </si>
  <si>
    <t>ESCAVAÇÃO BLOCOS</t>
  </si>
  <si>
    <t>60% DO VOLUME DO CONCRETO</t>
  </si>
  <si>
    <t>ÁREA FORMA</t>
  </si>
  <si>
    <t>VERIFICAR PROJETO DE ESTRUTURA DE CONCRETO ARMADO</t>
  </si>
  <si>
    <t>ÁREA DA FORMA</t>
  </si>
  <si>
    <t>KG DO AÇO</t>
  </si>
  <si>
    <t>VERIFICAR PRANCHA 8/22 A 9/22</t>
  </si>
  <si>
    <t>ÁREA DE FORMA</t>
  </si>
  <si>
    <t xml:space="preserve">ÁREA </t>
  </si>
  <si>
    <t xml:space="preserve">VOLUME ESCAVAÇÃO </t>
  </si>
  <si>
    <t>ESCAVAÇÃO - CONCRETO</t>
  </si>
  <si>
    <t>2.1.2</t>
  </si>
  <si>
    <t>2.1.2.1</t>
  </si>
  <si>
    <t>2.1.2.2</t>
  </si>
  <si>
    <t>2.1.2.3</t>
  </si>
  <si>
    <t>BLOCO DE COROAMENTO</t>
  </si>
  <si>
    <t>2.1.2.4</t>
  </si>
  <si>
    <t>2.1.2.5</t>
  </si>
  <si>
    <t>2.1.2.6</t>
  </si>
  <si>
    <t>2.1.2.7</t>
  </si>
  <si>
    <t>2.1.2.8</t>
  </si>
  <si>
    <t>2.1.2.9</t>
  </si>
  <si>
    <t>TON</t>
  </si>
  <si>
    <t>5.1.1</t>
  </si>
  <si>
    <t>5.1.2</t>
  </si>
  <si>
    <t>5.1.3</t>
  </si>
  <si>
    <t>8.1</t>
  </si>
  <si>
    <t>8.2</t>
  </si>
  <si>
    <t>9.1</t>
  </si>
  <si>
    <t>ESTRUTURA METÁLICA</t>
  </si>
  <si>
    <t>PESO</t>
  </si>
  <si>
    <t>CPU03</t>
  </si>
  <si>
    <t>3.2</t>
  </si>
  <si>
    <t xml:space="preserve">FIXAÇÃO ENTRE BLOCO DE CONCRETO ARMADO E PILAR METÁLICO, COM PLACA DE CHAPA GROSSA E CHUMBADOR - FORNECIMENTO E INSTALAÇÃO </t>
  </si>
  <si>
    <t>4.2</t>
  </si>
  <si>
    <t>COBERTURA</t>
  </si>
  <si>
    <t>7.2</t>
  </si>
  <si>
    <t>CUSTO UNITÁRIO S/ DES2</t>
  </si>
  <si>
    <t>CUSTO UNITÁRIO C/BDI S/ DES2</t>
  </si>
  <si>
    <t>ENCARGOS SOCIAIS ONERADOS: 106,76%(HORA) 64,39%(MÊS)</t>
  </si>
  <si>
    <t>3.3</t>
  </si>
  <si>
    <t>PERFIL U150X60x20 - PILARES</t>
  </si>
  <si>
    <t>LISTA DE MATERIAIS - VIGAS DE COBERTURA E BANCO</t>
  </si>
  <si>
    <t>LIGAÇÃO BASE</t>
  </si>
  <si>
    <t>CRONOGRAMA FÍSICO FINANCEIRO - NÃO DESONERADO</t>
  </si>
  <si>
    <t>DEMONSTRAÇÃO DE BDI 1 - NÃO DESONERADO - Acórdão 2622/2013</t>
  </si>
  <si>
    <t>COEFICIENTE DE MULTIPLICAÇÃO</t>
  </si>
  <si>
    <t>QUADRO RESUMO - NÃO DESONERADO</t>
  </si>
  <si>
    <t>CONSTRUÇÃO DE PONTOS DE ÔNIBUS</t>
  </si>
  <si>
    <t>BDI NÃO DESONERADO ADOTADO</t>
  </si>
  <si>
    <t>S/ DESONERAÇÃO</t>
  </si>
  <si>
    <t>CUSTO TOTAL C/ BDI S/ DES2</t>
  </si>
  <si>
    <t>(JUNHO/2024)</t>
  </si>
  <si>
    <t>(JUNHO/2024</t>
  </si>
  <si>
    <t>% S/ DESONERAÇÃO</t>
  </si>
  <si>
    <t>CUSTO TOTAL C/ BDI s/ DES</t>
  </si>
  <si>
    <t>304,65</t>
  </si>
  <si>
    <t>55,72</t>
  </si>
  <si>
    <t>2,81</t>
  </si>
  <si>
    <t>8,14</t>
  </si>
  <si>
    <t>80,81</t>
  </si>
  <si>
    <t>257,34</t>
  </si>
  <si>
    <t>17,66</t>
  </si>
  <si>
    <t>85,94</t>
  </si>
  <si>
    <t>18,17</t>
  </si>
  <si>
    <t>128,26</t>
  </si>
  <si>
    <t>17,83</t>
  </si>
  <si>
    <t>15,65</t>
  </si>
  <si>
    <t>494,00</t>
  </si>
  <si>
    <t>47,09</t>
  </si>
  <si>
    <t>30,35</t>
  </si>
  <si>
    <t>13,89</t>
  </si>
  <si>
    <t>217,69</t>
  </si>
  <si>
    <t>50,67</t>
  </si>
  <si>
    <t>0,11</t>
  </si>
  <si>
    <t>1,96</t>
  </si>
  <si>
    <t>66,38</t>
  </si>
  <si>
    <t>12,41</t>
  </si>
  <si>
    <t>9,39</t>
  </si>
  <si>
    <t>42,81</t>
  </si>
  <si>
    <t>113,50</t>
  </si>
  <si>
    <t>34,20</t>
  </si>
  <si>
    <t>21,91</t>
  </si>
  <si>
    <t>21,55</t>
  </si>
  <si>
    <t>22,16</t>
  </si>
  <si>
    <t>17,96</t>
  </si>
  <si>
    <t>19,29</t>
  </si>
  <si>
    <t>78,00</t>
  </si>
  <si>
    <t>5,30</t>
  </si>
  <si>
    <t>28,16</t>
  </si>
  <si>
    <t>30,52</t>
  </si>
  <si>
    <t>0,78</t>
  </si>
  <si>
    <t>196,37</t>
  </si>
  <si>
    <t>459,97</t>
  </si>
  <si>
    <t>53,52</t>
  </si>
  <si>
    <t>19,99</t>
  </si>
  <si>
    <t>5,83</t>
  </si>
  <si>
    <t>23,23</t>
  </si>
  <si>
    <t>19,55</t>
  </si>
  <si>
    <t>10,21</t>
  </si>
  <si>
    <t>29,32</t>
  </si>
  <si>
    <t>SECRETARIA DE OBRAS</t>
  </si>
  <si>
    <t>PORTA DE CORRER AUTOMÁTICA, EM VIDRO TEMPERADO INCOLOR 8MM, 4 FOLHAS (2 MOVEIS E DUAS FIXAS), COM BATE FECHA, NAS DIMENSÕES 2,2X270CM - FORNECIMENTO E INSTALAÇÃO</t>
  </si>
  <si>
    <t>ESTACA BROCA DE CONCRETO, DIÂMETRO DE 25CM, ESCAVAÇÃO MANUAL COM TRADO CONCHA, COM ARMADURA DE ARRANQUE. AF_05/2020</t>
  </si>
  <si>
    <t>LANÇAMENTO COM USO DE BALDES, ADENSAMENTO E ACABAMENTO DE CONCRETO EM ESTRUTURAS. AF_02/2022</t>
  </si>
  <si>
    <t>M3</t>
  </si>
  <si>
    <t>ARRASAMENTO MECANICO DE ESTACA DE CONCRETO ARMADO, DIAMETROS DE ATÉ 40 CM. AF_05/2021</t>
  </si>
  <si>
    <t>ESCAVAÇÃO MANUAL PARA BLOCO DE COROAMENTO OU SAPATA (INCLUINDO ESCAVAÇÃO PARA COLOCAÇÃO DE FÔRMAS). AF_01/2024</t>
  </si>
  <si>
    <t>LASTRO DE CONCRETO MAGRO, APLICADO EM BLOCOS DE COROAMENTO OU SAPATAS, ESPESSURA DE 3 CM. AF_01/2024</t>
  </si>
  <si>
    <t>FABRICAÇÃO, MONTAGEM E DESMONTAGEM DE FÔRMA PARA BLOCO DE COROAMENTO, EM CHAPA DE MADEIRA COMPENSADA RESINADA, E=17 MM, 4 UTILIZAÇÕES. AF_01/2024</t>
  </si>
  <si>
    <t>ARMAÇÃO DE BLOCO UTILIZANDO AÇO CA-60 DE 5 MM - MONTAGEM. AF_01/2024</t>
  </si>
  <si>
    <t>ARMAÇÃO DE BLOCO UTILIZANDO AÇO CA-50 DE 8 MM - MONTAGEM. AF_01/2024</t>
  </si>
  <si>
    <t>CONCRETO FCK = 25MPA, TRAÇO 1:2,3:2,7 (EM MASSA SECA DE CIMENTO/ AREIA MÉDIA/ BRITA 1) - PREPARO MECÂNICO COM BETONEIRA 400 L. AF_05/2021</t>
  </si>
  <si>
    <t>IMPERMEABILIZAÇÃO DE SUPERFÍCIE COM EMULSÃO ASFÁLTICA, 2 DEMÃOS. AF_09/2023</t>
  </si>
  <si>
    <t>REATERRO MANUAL DE VALAS, COM COMPACTADOR DE SOLOS DE PERCUSSÃO. AF_08/2023</t>
  </si>
  <si>
    <t>FORNECIMENTO, MONTAGEM E INSTALACAO DE ESTRUTURA METALICA, COM LIGACAO SOLDADAS, INCLUSOS PERFIS METALICOS, CHAPA METALICAS, MAO DE OBRA E TRANSPORTE COM GUINDALTO - FORNECIMENTO E INSTALACAO</t>
  </si>
  <si>
    <t>ESTRUTURA TRELIÇADA DE COBERTURA, TIPO SHED, COM LIGAÇÕES SOLDADAS, INCLUSOS PERFIS METÁLICOS, CHAPAS METÁLICAS, MÃO DE OBRA E TRANSPORTE COM GUINDASTE - FORNECIMENTO E INSTALAÇÃO. AF_01/2020_PSA</t>
  </si>
  <si>
    <t>TELHAMENTO COM TELHA METÁLICA TERMOACÚSTICA E = 30 MM, COM ATÉ 2 ÁGUAS, INCLUSO IÇAMENTO. AF_07/2019</t>
  </si>
  <si>
    <t>RUFO EM CHAPA DE AÇO GALVANIZADO NÚMERO 24, CORTE DE 25 CM, INCLUSO TRANSPORTE VERTICAL. AF_07/2019</t>
  </si>
  <si>
    <t>REGULARIZAÇÃO DE SUPERFÍCIES COM MOTONIVELADORA. AF_11/2019</t>
  </si>
  <si>
    <t>TRANSPORTE COM CAMINHÃO CARROCERIA 9T, EM VIA URBANA PAVIMENTADA, DMT ATÉ 30KM (UNIDADE: TXKM). AF_07/2020</t>
  </si>
  <si>
    <t>TXKM</t>
  </si>
  <si>
    <t>EXECUÇÃO DE PAVIMENTO EM PISO INTERTRAVADO, COM BLOCO RETANGULAR COR NATURAL DE 20 X 10 CM, ESPESSURA 6 CM. AF_10/2022</t>
  </si>
  <si>
    <t>PLANTIO DE GRAMA ESMERALDA OU SÃO CARLOS OU CURITIBANA, EM PLACAS. AF_05/2022</t>
  </si>
  <si>
    <t>PINTURA COM TINTA ALQUÍDICA DE FUNDO (TIPO ZARCÃO) APLICADA A ROLO OU PINCEL SOBRE PERFIL METÁLICO EXECUTADO EM FÁBRICA (POR DEMÃO). AF_01/2020</t>
  </si>
  <si>
    <t>PINTURA COM TINTA ALQUÍDICA DE ACABAMENTO (ESMALTE SINTÉTICO BRILHANTE) APLICADA A ROLO OU PINCEL SOBRE SUPERFÍCIES METÁLICAS (EXCETO PERFIL) EXECUTADO EM OBRA (02 DEMÃOS). AF_01/2020</t>
  </si>
  <si>
    <t>ENGENHEIRO CIVIL DE OBRA JUNIOR COM ENCARGOS COMPLEMENTARES</t>
  </si>
  <si>
    <t>H</t>
  </si>
  <si>
    <t>MESTRE DE OBRAS COM ENCARGOS COMPLEMENTARES</t>
  </si>
  <si>
    <t>LOCACAO DE CACAMBA (4M3) (7 DIAS)</t>
  </si>
  <si>
    <t>FORNECIMENTO E INSTALAÇÃO DE PLACA DE OBRA COM CHAPA GALVANIZADA E ESTRUTURA DE MADEIRA. AF_03/2022_PS</t>
  </si>
  <si>
    <t>LOCAÇÃO CONVENCIONAL DE OBRA, UTILIZANDO GABARITO DE TÁBUAS CORRIDAS PONTALETADAS A CADA 2,00M -  2 UTILIZAÇÕES. AF_03/2024</t>
  </si>
  <si>
    <t>LIMPEZA MANUAL DE VEGETAÇÃO EM TERRENO COM ENXADA. AF_03/2024</t>
  </si>
  <si>
    <t>CARGA, MANOBRA E DESCARGA DE ENTULHO EM CAMINHÃO BASCULANTE 14 M³ - CARGA COM ESCAVADEIRA HIDRÁULICA  (CAÇAMBA DE 0,80 M³ / 111 HP) E DESCARGA LIVRE (UNIDADE: M3). AF_07/2020</t>
  </si>
  <si>
    <t>CARPINTEIRO DE FORMAS COM ENCARGOS COMPLEMENTARES</t>
  </si>
  <si>
    <t>ENCANADOR OU BOMBEIRO HIDRÁULICO COM ENCARGOS COMPLEMENTARES</t>
  </si>
  <si>
    <t>PEDREIRO COM ENCARGOS COMPLEMENTARES</t>
  </si>
  <si>
    <t>SERVENTE COM ENCARGOS COMPLEMENTARES</t>
  </si>
  <si>
    <t>AUXILIAR DE SERVIÇOS GERAIS COM ENCARGOS COMPLEMENTARES</t>
  </si>
  <si>
    <t xml:space="preserve">AREIA MEDIA - POSTO JAZIDA/FORNECEDOR (RETIRADO NA JAZIDA, SEM TRANSPORTE)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</si>
  <si>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    </t>
  </si>
  <si>
    <t xml:space="preserve">PONTALETE ROLICO SEM TRATAMENTO, D = 8 A 11 CM, H = 6 M, EM EUCALIPTO OU EQUIVALENTE DA REGIAO - BRUTA (PARA ESCORAMENTO)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</si>
  <si>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     </t>
  </si>
  <si>
    <t xml:space="preserve">PREGO DE ACO POLIDO COM CABECA 15 X 15 (1 1/4 X 13)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</si>
  <si>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KG    </t>
  </si>
  <si>
    <t xml:space="preserve">TABUA NAO APARELHADA *2,5 X 30* CM, EM MACARANDUBA/MASSARANDUBA, ANGELIM OU EQUIVALENTE DA REGIAO -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</si>
  <si>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TIJOLO CERAMICO MACICO COMUM DE *5 X 10 X 20* CM (L X A X C)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</si>
  <si>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    </t>
  </si>
  <si>
    <t xml:space="preserve">BACIA SANITARIA (VASO) CONVENCIONAL, DE LOUCA COLORIDA, SIFAO APARENTE, SAIDA VERTICAL (SEM ASSENTO)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</si>
  <si>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CAIXA D'AGUA / RESERVATORIO EM POLIETILENO, 1000 LITROS, COM TAMPA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</si>
  <si>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CAIXA DE DESCARGA PLASTICA PARA BACIA / VASO SANITARIO, EXTERNA, CAPACIDADE 9 LITROS, PUXADOR FIO DE NYLON, NAO INCLUSO CANO, BOLSA, ENGATE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</si>
  <si>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SERIE NORMAL, DN 100 MM, PARA ESGOTO PREDIAL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</si>
  <si>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SOLDAVEL, DE 25 MM, AGUA FRIA (NBR-5648)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</si>
  <si>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MONTADOR DE ESTRUTURA METÁLICA COM ENCARGOS COMPLEMENTARES</t>
  </si>
  <si>
    <t>AJUDANTE DE ESTRUTURA METÁLICA COM ENCARGOS COMPLEMENTARES</t>
  </si>
  <si>
    <t xml:space="preserve">CHAPA DE ACO GROSSA, ASTM A36, E = 3/8" (9,53 MM) 74,69 KG/M2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</si>
  <si>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CHUMBADOR DE ACO ZINCADO, DIAMETRO 5/8", COMPRIMENTO 6", COM PORCA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</si>
</sst>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_);\(#,##0.000\)"/>
    <numFmt numFmtId="165" formatCode="&quot;R$&quot;\ #,##0.00"/>
    <numFmt numFmtId="166" formatCode="_(* #,##0.00_);_(* \(#,##0.00\);_(* &quot;-&quot;??_);_(@_)"/>
    <numFmt numFmtId="167" formatCode="_-* #,##0.000_-;\-* #,##0.000_-;_-* &quot;-&quot;??_-;_-@_-"/>
    <numFmt numFmtId="168" formatCode=";;;"/>
  </numFmts>
  <fonts count="68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1"/>
      <color theme="1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6"/>
      <name val="Cambria"/>
      <family val="1"/>
    </font>
    <font>
      <b/>
      <sz val="5"/>
      <name val="Cambria"/>
      <family val="1"/>
    </font>
    <font>
      <sz val="9"/>
      <name val="Cambria"/>
      <family val="1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sz val="11"/>
      <name val="Cambria"/>
      <family val="1"/>
    </font>
    <font>
      <sz val="11"/>
      <name val="Calibri"/>
      <family val="2"/>
      <scheme val="minor"/>
    </font>
    <font>
      <b/>
      <sz val="9"/>
      <color rgb="FF000000"/>
      <name val="Cambria"/>
      <family val="1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rgb="FFFF0000"/>
      <name val="Cambria"/>
      <family val="1"/>
    </font>
    <font>
      <sz val="8"/>
      <color theme="0"/>
      <name val="Cambria"/>
      <family val="1"/>
    </font>
    <font>
      <b/>
      <sz val="9"/>
      <color theme="0"/>
      <name val="Cambria"/>
      <family val="1"/>
    </font>
    <font>
      <sz val="9"/>
      <name val="Calibri"/>
      <family val="2"/>
      <scheme val="minor"/>
    </font>
    <font>
      <b/>
      <sz val="16"/>
      <color theme="0"/>
      <name val="Franklin Gothic Dem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mbria"/>
      <family val="1"/>
    </font>
    <font>
      <b/>
      <sz val="12"/>
      <color rgb="FFFF0000"/>
      <name val="Cambria"/>
      <family val="1"/>
    </font>
    <font>
      <b/>
      <sz val="14"/>
      <color rgb="FFFF0000"/>
      <name val="Cambria"/>
      <family val="1"/>
    </font>
    <font>
      <b/>
      <sz val="9"/>
      <color rgb="FFFF0000"/>
      <name val="Cambria"/>
      <family val="1"/>
    </font>
    <font>
      <b/>
      <sz val="10"/>
      <color rgb="FFFF0000"/>
      <name val="Cambria"/>
      <family val="1"/>
    </font>
    <font>
      <sz val="9"/>
      <color rgb="FFFF0000"/>
      <name val="Cambria"/>
      <family val="1"/>
    </font>
    <font>
      <sz val="10"/>
      <color rgb="FFFF0000"/>
      <name val="Calibri"/>
      <family val="2"/>
      <scheme val="minor"/>
    </font>
    <font>
      <sz val="10"/>
      <color rgb="FF00B050"/>
      <name val="Cambria"/>
      <family val="1"/>
    </font>
    <font>
      <sz val="10"/>
      <name val="Calibri"/>
      <family val="2"/>
      <scheme val="minor"/>
    </font>
    <font>
      <b/>
      <sz val="8"/>
      <color theme="0"/>
      <name val="Cambria"/>
      <family val="1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44">
    <xf numFmtId="0" fontId="0" fillId="0" borderId="0"/>
    <xf numFmtId="164" fontId="1" fillId="0" borderId="0"/>
    <xf numFmtId="164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6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0" fontId="33" fillId="0" borderId="0"/>
    <xf numFmtId="44" fontId="24" fillId="0" borderId="0" applyFont="0" applyFill="0" applyBorder="0" applyAlignment="0" applyProtection="0"/>
    <xf numFmtId="0" fontId="2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895">
    <xf numFmtId="0" fontId="0" fillId="0" borderId="0" xfId="0"/>
    <xf numFmtId="9" fontId="0" fillId="0" borderId="0" xfId="0" applyNumberFormat="1"/>
    <xf numFmtId="0" fontId="0" fillId="0" borderId="0" xfId="0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0" fillId="0" borderId="11" xfId="0" applyBorder="1"/>
    <xf numFmtId="0" fontId="0" fillId="0" borderId="8" xfId="0" applyBorder="1"/>
    <xf numFmtId="0" fontId="6" fillId="0" borderId="0" xfId="6"/>
    <xf numFmtId="0" fontId="6" fillId="0" borderId="11" xfId="6" applyBorder="1"/>
    <xf numFmtId="0" fontId="7" fillId="0" borderId="3" xfId="6" applyFont="1" applyBorder="1" applyAlignment="1">
      <alignment vertical="center" wrapText="1"/>
    </xf>
    <xf numFmtId="0" fontId="9" fillId="0" borderId="12" xfId="6" applyFont="1" applyBorder="1"/>
    <xf numFmtId="0" fontId="9" fillId="0" borderId="11" xfId="6" applyFont="1" applyBorder="1"/>
    <xf numFmtId="0" fontId="9" fillId="0" borderId="12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1" xfId="6" applyFont="1" applyBorder="1" applyAlignment="1">
      <alignment horizontal="left"/>
    </xf>
    <xf numFmtId="43" fontId="7" fillId="0" borderId="0" xfId="8" applyFont="1" applyBorder="1"/>
    <xf numFmtId="0" fontId="6" fillId="0" borderId="6" xfId="6" applyBorder="1"/>
    <xf numFmtId="0" fontId="5" fillId="2" borderId="11" xfId="0" applyFont="1" applyFill="1" applyBorder="1" applyAlignment="1">
      <alignment horizontal="center" vertical="center"/>
    </xf>
    <xf numFmtId="0" fontId="0" fillId="0" borderId="6" xfId="0" applyBorder="1"/>
    <xf numFmtId="0" fontId="9" fillId="0" borderId="7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0" fillId="0" borderId="9" xfId="0" applyBorder="1"/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21" fillId="0" borderId="10" xfId="0" applyFont="1" applyBorder="1" applyAlignment="1">
      <alignment vertical="top" wrapText="1"/>
    </xf>
    <xf numFmtId="0" fontId="21" fillId="0" borderId="7" xfId="0" applyFont="1" applyBorder="1" applyAlignment="1">
      <alignment vertical="top" wrapText="1"/>
    </xf>
    <xf numFmtId="0" fontId="21" fillId="0" borderId="12" xfId="0" applyFont="1" applyBorder="1" applyAlignment="1">
      <alignment vertical="top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0" fillId="0" borderId="7" xfId="0" applyBorder="1"/>
    <xf numFmtId="0" fontId="0" fillId="0" borderId="12" xfId="0" applyBorder="1"/>
    <xf numFmtId="0" fontId="21" fillId="0" borderId="11" xfId="0" applyFont="1" applyBorder="1" applyAlignment="1">
      <alignment wrapText="1"/>
    </xf>
    <xf numFmtId="0" fontId="21" fillId="0" borderId="0" xfId="0" applyFont="1" applyAlignment="1">
      <alignment wrapText="1"/>
    </xf>
    <xf numFmtId="0" fontId="10" fillId="0" borderId="6" xfId="0" applyFont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0" fontId="25" fillId="0" borderId="0" xfId="14" applyFont="1"/>
    <xf numFmtId="0" fontId="15" fillId="0" borderId="0" xfId="14" applyFont="1" applyAlignment="1">
      <alignment vertical="center"/>
    </xf>
    <xf numFmtId="0" fontId="25" fillId="0" borderId="0" xfId="14" applyFont="1" applyAlignment="1">
      <alignment vertical="center"/>
    </xf>
    <xf numFmtId="49" fontId="25" fillId="0" borderId="0" xfId="14" applyNumberFormat="1" applyFont="1"/>
    <xf numFmtId="0" fontId="25" fillId="9" borderId="0" xfId="14" applyFont="1" applyFill="1"/>
    <xf numFmtId="0" fontId="24" fillId="0" borderId="0" xfId="14" applyAlignment="1">
      <alignment wrapText="1"/>
    </xf>
    <xf numFmtId="0" fontId="24" fillId="0" borderId="0" xfId="14"/>
    <xf numFmtId="4" fontId="6" fillId="0" borderId="0" xfId="14" applyNumberFormat="1" applyFont="1"/>
    <xf numFmtId="49" fontId="11" fillId="2" borderId="4" xfId="0" applyNumberFormat="1" applyFont="1" applyFill="1" applyBorder="1" applyAlignment="1">
      <alignment vertical="center"/>
    </xf>
    <xf numFmtId="0" fontId="27" fillId="7" borderId="35" xfId="14" applyFont="1" applyFill="1" applyBorder="1" applyAlignment="1" applyProtection="1">
      <alignment horizontal="left" vertical="center"/>
      <protection locked="0"/>
    </xf>
    <xf numFmtId="0" fontId="28" fillId="8" borderId="36" xfId="14" applyFont="1" applyFill="1" applyBorder="1" applyAlignment="1" applyProtection="1">
      <alignment horizontal="left" vertical="center"/>
      <protection locked="0"/>
    </xf>
    <xf numFmtId="0" fontId="29" fillId="7" borderId="37" xfId="14" applyFont="1" applyFill="1" applyBorder="1" applyAlignment="1" applyProtection="1">
      <alignment vertical="center"/>
      <protection locked="0"/>
    </xf>
    <xf numFmtId="49" fontId="30" fillId="8" borderId="38" xfId="14" applyNumberFormat="1" applyFont="1" applyFill="1" applyBorder="1" applyAlignment="1" applyProtection="1">
      <alignment vertical="center"/>
      <protection locked="0"/>
    </xf>
    <xf numFmtId="0" fontId="29" fillId="7" borderId="39" xfId="14" applyFont="1" applyFill="1" applyBorder="1" applyAlignment="1" applyProtection="1">
      <alignment vertical="center"/>
      <protection locked="0"/>
    </xf>
    <xf numFmtId="0" fontId="27" fillId="7" borderId="37" xfId="14" applyFont="1" applyFill="1" applyBorder="1" applyAlignment="1" applyProtection="1">
      <alignment horizontal="left" vertical="center"/>
      <protection locked="0"/>
    </xf>
    <xf numFmtId="0" fontId="29" fillId="7" borderId="35" xfId="14" applyFont="1" applyFill="1" applyBorder="1" applyAlignment="1" applyProtection="1">
      <alignment vertical="center"/>
      <protection locked="0"/>
    </xf>
    <xf numFmtId="0" fontId="30" fillId="8" borderId="36" xfId="14" applyFont="1" applyFill="1" applyBorder="1" applyAlignment="1" applyProtection="1">
      <alignment vertical="center"/>
      <protection locked="0"/>
    </xf>
    <xf numFmtId="0" fontId="30" fillId="8" borderId="38" xfId="14" applyFont="1" applyFill="1" applyBorder="1" applyAlignment="1" applyProtection="1">
      <alignment vertical="center"/>
      <protection locked="0"/>
    </xf>
    <xf numFmtId="14" fontId="30" fillId="8" borderId="40" xfId="14" applyNumberFormat="1" applyFont="1" applyFill="1" applyBorder="1" applyAlignment="1" applyProtection="1">
      <alignment horizontal="left" vertical="center"/>
      <protection locked="0"/>
    </xf>
    <xf numFmtId="0" fontId="30" fillId="8" borderId="40" xfId="14" applyFont="1" applyFill="1" applyBorder="1" applyAlignment="1" applyProtection="1">
      <alignment vertical="center"/>
      <protection locked="0"/>
    </xf>
    <xf numFmtId="49" fontId="7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left" vertical="center" wrapText="1"/>
    </xf>
    <xf numFmtId="2" fontId="7" fillId="5" borderId="3" xfId="8" applyNumberFormat="1" applyFont="1" applyFill="1" applyBorder="1" applyAlignment="1">
      <alignment horizontal="center"/>
    </xf>
    <xf numFmtId="49" fontId="7" fillId="7" borderId="4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 wrapText="1"/>
    </xf>
    <xf numFmtId="49" fontId="34" fillId="8" borderId="38" xfId="14" applyNumberFormat="1" applyFont="1" applyFill="1" applyBorder="1" applyAlignment="1" applyProtection="1">
      <alignment vertical="center"/>
      <protection locked="0"/>
    </xf>
    <xf numFmtId="43" fontId="11" fillId="2" borderId="4" xfId="8" applyFont="1" applyFill="1" applyBorder="1" applyAlignment="1" applyProtection="1">
      <alignment vertical="center"/>
    </xf>
    <xf numFmtId="0" fontId="0" fillId="2" borderId="12" xfId="0" applyFill="1" applyBorder="1"/>
    <xf numFmtId="0" fontId="0" fillId="2" borderId="2" xfId="0" applyFill="1" applyBorder="1"/>
    <xf numFmtId="49" fontId="10" fillId="0" borderId="43" xfId="14" applyNumberFormat="1" applyFont="1" applyBorder="1" applyAlignment="1">
      <alignment horizontal="center"/>
    </xf>
    <xf numFmtId="0" fontId="12" fillId="0" borderId="0" xfId="14" applyFont="1" applyAlignment="1">
      <alignment horizontal="center"/>
    </xf>
    <xf numFmtId="49" fontId="12" fillId="5" borderId="3" xfId="14" applyNumberFormat="1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/>
    </xf>
    <xf numFmtId="0" fontId="12" fillId="5" borderId="3" xfId="14" applyFont="1" applyFill="1" applyBorder="1" applyAlignment="1">
      <alignment horizontal="center" vertical="center"/>
    </xf>
    <xf numFmtId="49" fontId="12" fillId="0" borderId="3" xfId="14" applyNumberFormat="1" applyFont="1" applyBorder="1" applyAlignment="1">
      <alignment horizontal="center" vertical="center"/>
    </xf>
    <xf numFmtId="0" fontId="18" fillId="0" borderId="3" xfId="14" applyFont="1" applyBorder="1" applyAlignment="1">
      <alignment horizontal="left" vertical="center" wrapText="1"/>
    </xf>
    <xf numFmtId="0" fontId="12" fillId="0" borderId="3" xfId="14" applyFont="1" applyBorder="1" applyAlignment="1">
      <alignment horizontal="center" vertical="center"/>
    </xf>
    <xf numFmtId="14" fontId="12" fillId="0" borderId="3" xfId="14" applyNumberFormat="1" applyFont="1" applyBorder="1" applyAlignment="1">
      <alignment horizontal="center" vertical="center"/>
    </xf>
    <xf numFmtId="44" fontId="12" fillId="0" borderId="3" xfId="16" applyFont="1" applyFill="1" applyBorder="1" applyAlignment="1">
      <alignment horizontal="center" vertical="center"/>
    </xf>
    <xf numFmtId="49" fontId="12" fillId="5" borderId="3" xfId="14" applyNumberFormat="1" applyFont="1" applyFill="1" applyBorder="1" applyAlignment="1">
      <alignment horizontal="center" vertical="center"/>
    </xf>
    <xf numFmtId="49" fontId="10" fillId="0" borderId="1" xfId="14" applyNumberFormat="1" applyFont="1" applyBorder="1" applyAlignment="1">
      <alignment horizontal="center" vertical="center"/>
    </xf>
    <xf numFmtId="0" fontId="20" fillId="0" borderId="4" xfId="14" applyFont="1" applyBorder="1" applyAlignment="1">
      <alignment horizontal="left" vertical="center"/>
    </xf>
    <xf numFmtId="44" fontId="10" fillId="0" borderId="4" xfId="16" applyFont="1" applyFill="1" applyBorder="1" applyAlignment="1">
      <alignment horizontal="center"/>
    </xf>
    <xf numFmtId="44" fontId="10" fillId="0" borderId="2" xfId="16" applyFont="1" applyFill="1" applyBorder="1" applyAlignment="1">
      <alignment horizontal="center"/>
    </xf>
    <xf numFmtId="0" fontId="25" fillId="0" borderId="0" xfId="14" applyFont="1" applyAlignment="1">
      <alignment horizontal="center"/>
    </xf>
    <xf numFmtId="0" fontId="23" fillId="2" borderId="4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8" fillId="0" borderId="6" xfId="17" applyFont="1" applyBorder="1" applyAlignment="1">
      <alignment horizontal="center" vertical="center"/>
    </xf>
    <xf numFmtId="0" fontId="9" fillId="0" borderId="7" xfId="17" applyFont="1" applyBorder="1" applyAlignment="1">
      <alignment vertical="center" wrapText="1"/>
    </xf>
    <xf numFmtId="0" fontId="25" fillId="0" borderId="0" xfId="17" applyFont="1"/>
    <xf numFmtId="0" fontId="8" fillId="0" borderId="11" xfId="17" applyFont="1" applyBorder="1" applyAlignment="1">
      <alignment horizontal="center" vertical="center"/>
    </xf>
    <xf numFmtId="0" fontId="15" fillId="0" borderId="12" xfId="17" applyFont="1" applyBorder="1" applyAlignment="1">
      <alignment vertical="center" wrapText="1"/>
    </xf>
    <xf numFmtId="0" fontId="8" fillId="0" borderId="8" xfId="17" applyFont="1" applyBorder="1" applyAlignment="1">
      <alignment horizontal="center" vertical="center"/>
    </xf>
    <xf numFmtId="0" fontId="9" fillId="0" borderId="9" xfId="17" applyFont="1" applyBorder="1" applyAlignment="1">
      <alignment vertical="center" wrapText="1"/>
    </xf>
    <xf numFmtId="0" fontId="10" fillId="0" borderId="3" xfId="17" applyFont="1" applyBorder="1" applyAlignment="1">
      <alignment horizontal="left" vertical="center" wrapText="1"/>
    </xf>
    <xf numFmtId="0" fontId="11" fillId="0" borderId="6" xfId="17" applyFont="1" applyBorder="1" applyAlignment="1">
      <alignment vertical="center"/>
    </xf>
    <xf numFmtId="0" fontId="21" fillId="0" borderId="7" xfId="17" applyFont="1" applyBorder="1" applyAlignment="1">
      <alignment vertical="center" wrapText="1"/>
    </xf>
    <xf numFmtId="0" fontId="21" fillId="0" borderId="11" xfId="17" applyFont="1" applyBorder="1" applyAlignment="1">
      <alignment vertical="center" wrapText="1"/>
    </xf>
    <xf numFmtId="0" fontId="21" fillId="0" borderId="12" xfId="17" applyFont="1" applyBorder="1" applyAlignment="1">
      <alignment vertical="center" wrapText="1"/>
    </xf>
    <xf numFmtId="0" fontId="10" fillId="0" borderId="5" xfId="17" applyFont="1" applyBorder="1" applyAlignment="1">
      <alignment horizontal="left" vertical="center" wrapText="1"/>
    </xf>
    <xf numFmtId="0" fontId="7" fillId="0" borderId="1" xfId="17" applyFont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/>
    </xf>
    <xf numFmtId="4" fontId="7" fillId="0" borderId="4" xfId="17" applyNumberFormat="1" applyFont="1" applyBorder="1" applyAlignment="1">
      <alignment horizontal="center" vertical="center" wrapText="1"/>
    </xf>
    <xf numFmtId="4" fontId="7" fillId="0" borderId="2" xfId="17" applyNumberFormat="1" applyFont="1" applyBorder="1" applyAlignment="1">
      <alignment horizontal="center" vertical="center" wrapText="1"/>
    </xf>
    <xf numFmtId="0" fontId="7" fillId="6" borderId="6" xfId="17" applyFont="1" applyFill="1" applyBorder="1" applyAlignment="1">
      <alignment horizontal="center" vertical="center"/>
    </xf>
    <xf numFmtId="0" fontId="7" fillId="6" borderId="10" xfId="17" applyFont="1" applyFill="1" applyBorder="1" applyAlignment="1">
      <alignment vertical="center"/>
    </xf>
    <xf numFmtId="0" fontId="7" fillId="6" borderId="7" xfId="17" applyFont="1" applyFill="1" applyBorder="1" applyAlignment="1">
      <alignment vertical="center"/>
    </xf>
    <xf numFmtId="0" fontId="19" fillId="5" borderId="5" xfId="17" applyFont="1" applyFill="1" applyBorder="1" applyAlignment="1">
      <alignment horizontal="center" vertical="center" wrapText="1"/>
    </xf>
    <xf numFmtId="0" fontId="25" fillId="2" borderId="3" xfId="17" applyFont="1" applyFill="1" applyBorder="1" applyAlignment="1">
      <alignment horizontal="center" vertical="center" wrapText="1"/>
    </xf>
    <xf numFmtId="0" fontId="19" fillId="2" borderId="3" xfId="17" applyFont="1" applyFill="1" applyBorder="1" applyAlignment="1">
      <alignment horizontal="center" vertical="center" wrapText="1"/>
    </xf>
    <xf numFmtId="0" fontId="25" fillId="0" borderId="0" xfId="17" applyFont="1" applyAlignment="1">
      <alignment horizontal="center" vertical="center"/>
    </xf>
    <xf numFmtId="0" fontId="7" fillId="8" borderId="1" xfId="17" applyFont="1" applyFill="1" applyBorder="1" applyAlignment="1">
      <alignment horizontal="center" vertical="center"/>
    </xf>
    <xf numFmtId="0" fontId="25" fillId="8" borderId="4" xfId="17" applyFont="1" applyFill="1" applyBorder="1" applyAlignment="1">
      <alignment vertical="center"/>
    </xf>
    <xf numFmtId="0" fontId="7" fillId="8" borderId="4" xfId="17" applyFont="1" applyFill="1" applyBorder="1" applyAlignment="1">
      <alignment vertical="center"/>
    </xf>
    <xf numFmtId="0" fontId="7" fillId="8" borderId="2" xfId="17" applyFont="1" applyFill="1" applyBorder="1" applyAlignment="1">
      <alignment vertical="center"/>
    </xf>
    <xf numFmtId="0" fontId="7" fillId="7" borderId="4" xfId="17" applyFont="1" applyFill="1" applyBorder="1" applyAlignment="1">
      <alignment vertical="center"/>
    </xf>
    <xf numFmtId="0" fontId="7" fillId="7" borderId="2" xfId="17" applyFont="1" applyFill="1" applyBorder="1" applyAlignment="1">
      <alignment vertical="center"/>
    </xf>
    <xf numFmtId="0" fontId="25" fillId="0" borderId="0" xfId="17" applyFont="1" applyAlignment="1">
      <alignment vertical="center"/>
    </xf>
    <xf numFmtId="0" fontId="19" fillId="0" borderId="1" xfId="17" applyFont="1" applyBorder="1" applyAlignment="1">
      <alignment horizontal="center" vertical="center" wrapText="1"/>
    </xf>
    <xf numFmtId="0" fontId="19" fillId="0" borderId="4" xfId="17" applyFont="1" applyBorder="1" applyAlignment="1">
      <alignment horizontal="center" vertical="center" wrapText="1"/>
    </xf>
    <xf numFmtId="0" fontId="19" fillId="0" borderId="2" xfId="17" applyFont="1" applyBorder="1" applyAlignment="1">
      <alignment horizontal="center" vertical="center" wrapText="1"/>
    </xf>
    <xf numFmtId="49" fontId="7" fillId="8" borderId="6" xfId="17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19" fillId="8" borderId="1" xfId="17" applyFont="1" applyFill="1" applyBorder="1" applyAlignment="1">
      <alignment horizontal="center" vertical="center" wrapText="1"/>
    </xf>
    <xf numFmtId="0" fontId="19" fillId="8" borderId="4" xfId="17" applyFont="1" applyFill="1" applyBorder="1" applyAlignment="1">
      <alignment horizontal="center" vertical="center" wrapText="1"/>
    </xf>
    <xf numFmtId="0" fontId="19" fillId="8" borderId="2" xfId="17" applyFont="1" applyFill="1" applyBorder="1" applyAlignment="1">
      <alignment horizontal="center" vertical="center" wrapText="1"/>
    </xf>
    <xf numFmtId="2" fontId="9" fillId="10" borderId="3" xfId="0" applyNumberFormat="1" applyFont="1" applyFill="1" applyBorder="1" applyAlignment="1">
      <alignment horizontal="center" vertical="center"/>
    </xf>
    <xf numFmtId="0" fontId="39" fillId="0" borderId="0" xfId="0" applyFont="1"/>
    <xf numFmtId="0" fontId="38" fillId="8" borderId="1" xfId="0" applyFont="1" applyFill="1" applyBorder="1"/>
    <xf numFmtId="0" fontId="38" fillId="8" borderId="4" xfId="0" applyFont="1" applyFill="1" applyBorder="1"/>
    <xf numFmtId="0" fontId="39" fillId="8" borderId="4" xfId="0" applyFont="1" applyFill="1" applyBorder="1"/>
    <xf numFmtId="0" fontId="39" fillId="8" borderId="2" xfId="0" applyFont="1" applyFill="1" applyBorder="1"/>
    <xf numFmtId="49" fontId="19" fillId="8" borderId="1" xfId="17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/>
    </xf>
    <xf numFmtId="0" fontId="12" fillId="0" borderId="6" xfId="0" applyFont="1" applyBorder="1" applyAlignment="1">
      <alignment vertical="top"/>
    </xf>
    <xf numFmtId="44" fontId="10" fillId="0" borderId="43" xfId="16" applyFont="1" applyFill="1" applyBorder="1" applyAlignment="1"/>
    <xf numFmtId="0" fontId="20" fillId="0" borderId="43" xfId="14" applyFont="1" applyBorder="1" applyAlignment="1">
      <alignment horizontal="center" vertical="center"/>
    </xf>
    <xf numFmtId="0" fontId="20" fillId="0" borderId="43" xfId="14" applyFont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5" borderId="3" xfId="17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horizontal="center"/>
    </xf>
    <xf numFmtId="0" fontId="0" fillId="0" borderId="3" xfId="0" applyBorder="1"/>
    <xf numFmtId="0" fontId="19" fillId="2" borderId="21" xfId="0" applyFont="1" applyFill="1" applyBorder="1" applyAlignment="1">
      <alignment vertical="center"/>
    </xf>
    <xf numFmtId="0" fontId="19" fillId="2" borderId="29" xfId="0" applyFont="1" applyFill="1" applyBorder="1" applyAlignment="1">
      <alignment vertical="center"/>
    </xf>
    <xf numFmtId="10" fontId="25" fillId="2" borderId="22" xfId="0" applyNumberFormat="1" applyFont="1" applyFill="1" applyBorder="1" applyAlignment="1">
      <alignment horizontal="center" vertical="center"/>
    </xf>
    <xf numFmtId="165" fontId="25" fillId="2" borderId="18" xfId="0" applyNumberFormat="1" applyFont="1" applyFill="1" applyBorder="1" applyAlignment="1">
      <alignment horizontal="center" vertical="center"/>
    </xf>
    <xf numFmtId="165" fontId="25" fillId="2" borderId="18" xfId="0" applyNumberFormat="1" applyFont="1" applyFill="1" applyBorder="1" applyAlignment="1">
      <alignment horizontal="right" vertical="center"/>
    </xf>
    <xf numFmtId="10" fontId="25" fillId="2" borderId="18" xfId="0" applyNumberFormat="1" applyFont="1" applyFill="1" applyBorder="1" applyAlignment="1">
      <alignment horizontal="center" vertical="center"/>
    </xf>
    <xf numFmtId="10" fontId="25" fillId="2" borderId="31" xfId="0" applyNumberFormat="1" applyFont="1" applyFill="1" applyBorder="1" applyAlignment="1">
      <alignment horizontal="center" vertical="center"/>
    </xf>
    <xf numFmtId="10" fontId="41" fillId="0" borderId="3" xfId="0" applyNumberFormat="1" applyFont="1" applyBorder="1"/>
    <xf numFmtId="0" fontId="19" fillId="2" borderId="27" xfId="0" applyFont="1" applyFill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10" fontId="19" fillId="2" borderId="10" xfId="0" applyNumberFormat="1" applyFont="1" applyFill="1" applyBorder="1" applyAlignment="1">
      <alignment horizontal="center" vertical="center"/>
    </xf>
    <xf numFmtId="165" fontId="19" fillId="2" borderId="10" xfId="0" applyNumberFormat="1" applyFont="1" applyFill="1" applyBorder="1" applyAlignment="1">
      <alignment horizontal="center" vertical="center"/>
    </xf>
    <xf numFmtId="165" fontId="25" fillId="2" borderId="1" xfId="0" applyNumberFormat="1" applyFont="1" applyFill="1" applyBorder="1" applyAlignment="1">
      <alignment horizontal="center" vertical="center"/>
    </xf>
    <xf numFmtId="10" fontId="25" fillId="2" borderId="4" xfId="0" applyNumberFormat="1" applyFont="1" applyFill="1" applyBorder="1" applyAlignment="1">
      <alignment horizontal="center" vertical="center"/>
    </xf>
    <xf numFmtId="10" fontId="25" fillId="2" borderId="2" xfId="0" applyNumberFormat="1" applyFont="1" applyFill="1" applyBorder="1" applyAlignment="1">
      <alignment horizontal="center" vertical="center"/>
    </xf>
    <xf numFmtId="9" fontId="25" fillId="2" borderId="31" xfId="0" applyNumberFormat="1" applyFont="1" applyFill="1" applyBorder="1" applyAlignment="1">
      <alignment horizontal="center" vertical="center"/>
    </xf>
    <xf numFmtId="9" fontId="25" fillId="2" borderId="1" xfId="0" applyNumberFormat="1" applyFont="1" applyFill="1" applyBorder="1" applyAlignment="1">
      <alignment horizontal="center" vertical="center"/>
    </xf>
    <xf numFmtId="9" fontId="25" fillId="2" borderId="4" xfId="0" applyNumberFormat="1" applyFont="1" applyFill="1" applyBorder="1" applyAlignment="1">
      <alignment horizontal="center" vertical="center"/>
    </xf>
    <xf numFmtId="9" fontId="25" fillId="2" borderId="2" xfId="0" applyNumberFormat="1" applyFont="1" applyFill="1" applyBorder="1" applyAlignment="1">
      <alignment horizontal="center" vertical="center"/>
    </xf>
    <xf numFmtId="0" fontId="41" fillId="0" borderId="1" xfId="0" applyFont="1" applyBorder="1"/>
    <xf numFmtId="0" fontId="41" fillId="0" borderId="4" xfId="0" applyFont="1" applyBorder="1"/>
    <xf numFmtId="0" fontId="41" fillId="0" borderId="2" xfId="0" applyFont="1" applyBorder="1"/>
    <xf numFmtId="0" fontId="41" fillId="0" borderId="3" xfId="0" applyFont="1" applyBorder="1"/>
    <xf numFmtId="165" fontId="25" fillId="2" borderId="24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165" fontId="19" fillId="2" borderId="23" xfId="0" applyNumberFormat="1" applyFont="1" applyFill="1" applyBorder="1" applyAlignment="1">
      <alignment horizontal="center" vertical="center"/>
    </xf>
    <xf numFmtId="10" fontId="19" fillId="2" borderId="18" xfId="3" applyNumberFormat="1" applyFont="1" applyFill="1" applyBorder="1" applyAlignment="1">
      <alignment horizontal="center" vertical="center"/>
    </xf>
    <xf numFmtId="10" fontId="19" fillId="2" borderId="31" xfId="3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165" fontId="24" fillId="2" borderId="0" xfId="0" applyNumberFormat="1" applyFont="1" applyFill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 vertical="center"/>
    </xf>
    <xf numFmtId="0" fontId="43" fillId="5" borderId="3" xfId="0" applyFont="1" applyFill="1" applyBorder="1" applyAlignment="1">
      <alignment horizontal="center"/>
    </xf>
    <xf numFmtId="0" fontId="37" fillId="2" borderId="18" xfId="0" applyFont="1" applyFill="1" applyBorder="1" applyAlignment="1">
      <alignment horizontal="center" vertical="center"/>
    </xf>
    <xf numFmtId="0" fontId="37" fillId="2" borderId="31" xfId="0" applyFont="1" applyFill="1" applyBorder="1" applyAlignment="1">
      <alignment horizontal="center" vertical="center"/>
    </xf>
    <xf numFmtId="0" fontId="44" fillId="0" borderId="3" xfId="0" applyFont="1" applyBorder="1"/>
    <xf numFmtId="0" fontId="41" fillId="0" borderId="0" xfId="0" applyFont="1"/>
    <xf numFmtId="0" fontId="41" fillId="0" borderId="12" xfId="0" applyFont="1" applyBorder="1"/>
    <xf numFmtId="165" fontId="18" fillId="2" borderId="54" xfId="0" applyNumberFormat="1" applyFont="1" applyFill="1" applyBorder="1" applyAlignment="1">
      <alignment horizontal="center" vertical="center"/>
    </xf>
    <xf numFmtId="10" fontId="18" fillId="2" borderId="47" xfId="3" applyNumberFormat="1" applyFont="1" applyFill="1" applyBorder="1" applyAlignment="1">
      <alignment horizontal="center" vertical="center"/>
    </xf>
    <xf numFmtId="10" fontId="18" fillId="2" borderId="53" xfId="3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 wrapText="1"/>
    </xf>
    <xf numFmtId="49" fontId="10" fillId="0" borderId="45" xfId="14" applyNumberFormat="1" applyFont="1" applyBorder="1" applyAlignment="1">
      <alignment horizontal="center"/>
    </xf>
    <xf numFmtId="49" fontId="10" fillId="0" borderId="46" xfId="14" applyNumberFormat="1" applyFont="1" applyBorder="1" applyAlignment="1">
      <alignment horizontal="center"/>
    </xf>
    <xf numFmtId="49" fontId="12" fillId="2" borderId="3" xfId="14" applyNumberFormat="1" applyFont="1" applyFill="1" applyBorder="1" applyAlignment="1">
      <alignment horizontal="center" vertical="center"/>
    </xf>
    <xf numFmtId="0" fontId="12" fillId="0" borderId="3" xfId="14" applyFont="1" applyBorder="1" applyAlignment="1">
      <alignment horizontal="left" vertical="center" wrapText="1"/>
    </xf>
    <xf numFmtId="2" fontId="9" fillId="0" borderId="4" xfId="17" applyNumberFormat="1" applyFont="1" applyBorder="1" applyAlignment="1">
      <alignment horizontal="left" vertical="center" wrapText="1"/>
    </xf>
    <xf numFmtId="2" fontId="9" fillId="0" borderId="2" xfId="17" applyNumberFormat="1" applyFont="1" applyBorder="1" applyAlignment="1">
      <alignment horizontal="left" vertical="center" wrapText="1"/>
    </xf>
    <xf numFmtId="0" fontId="25" fillId="0" borderId="11" xfId="14" applyFont="1" applyBorder="1"/>
    <xf numFmtId="0" fontId="25" fillId="0" borderId="12" xfId="14" applyFont="1" applyBorder="1"/>
    <xf numFmtId="49" fontId="11" fillId="0" borderId="10" xfId="0" applyNumberFormat="1" applyFont="1" applyBorder="1" applyAlignment="1">
      <alignment vertical="center"/>
    </xf>
    <xf numFmtId="0" fontId="11" fillId="0" borderId="6" xfId="0" applyFont="1" applyBorder="1" applyAlignment="1">
      <alignment vertical="top"/>
    </xf>
    <xf numFmtId="0" fontId="22" fillId="0" borderId="6" xfId="0" applyFont="1" applyBorder="1" applyAlignment="1">
      <alignment vertical="top"/>
    </xf>
    <xf numFmtId="0" fontId="9" fillId="0" borderId="0" xfId="6" applyFont="1"/>
    <xf numFmtId="0" fontId="9" fillId="0" borderId="0" xfId="6" applyFont="1" applyAlignment="1">
      <alignment horizontal="center" vertical="center"/>
    </xf>
    <xf numFmtId="0" fontId="7" fillId="0" borderId="0" xfId="6" applyFont="1"/>
    <xf numFmtId="0" fontId="9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center"/>
    </xf>
    <xf numFmtId="10" fontId="9" fillId="0" borderId="0" xfId="3" applyNumberFormat="1" applyFont="1" applyBorder="1" applyAlignment="1">
      <alignment horizontal="center"/>
    </xf>
    <xf numFmtId="0" fontId="9" fillId="0" borderId="48" xfId="6" applyFont="1" applyBorder="1" applyAlignment="1">
      <alignment horizontal="center" vertical="center"/>
    </xf>
    <xf numFmtId="0" fontId="19" fillId="0" borderId="3" xfId="17" applyFont="1" applyBorder="1" applyAlignment="1">
      <alignment horizontal="center" vertical="center"/>
    </xf>
    <xf numFmtId="0" fontId="12" fillId="5" borderId="3" xfId="14" applyFont="1" applyFill="1" applyBorder="1" applyAlignment="1">
      <alignment horizontal="center"/>
    </xf>
    <xf numFmtId="44" fontId="10" fillId="0" borderId="43" xfId="16" applyFont="1" applyFill="1" applyBorder="1" applyAlignment="1">
      <alignment horizontal="center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0" fillId="0" borderId="4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0" xfId="0" applyFont="1" applyAlignment="1">
      <alignment vertical="center"/>
    </xf>
    <xf numFmtId="49" fontId="10" fillId="0" borderId="44" xfId="14" applyNumberFormat="1" applyFont="1" applyBorder="1" applyAlignment="1">
      <alignment horizontal="center"/>
    </xf>
    <xf numFmtId="0" fontId="20" fillId="0" borderId="8" xfId="14" applyFont="1" applyBorder="1" applyAlignment="1">
      <alignment horizontal="left" vertical="center"/>
    </xf>
    <xf numFmtId="0" fontId="20" fillId="0" borderId="9" xfId="14" applyFont="1" applyBorder="1" applyAlignment="1">
      <alignment horizontal="left" vertical="center"/>
    </xf>
    <xf numFmtId="44" fontId="10" fillId="0" borderId="48" xfId="16" applyFont="1" applyFill="1" applyBorder="1" applyAlignment="1">
      <alignment horizontal="center"/>
    </xf>
    <xf numFmtId="49" fontId="45" fillId="2" borderId="3" xfId="14" applyNumberFormat="1" applyFont="1" applyFill="1" applyBorder="1" applyAlignment="1">
      <alignment horizontal="center" vertical="center"/>
    </xf>
    <xf numFmtId="0" fontId="45" fillId="0" borderId="3" xfId="14" applyFont="1" applyBorder="1" applyAlignment="1">
      <alignment horizontal="left" vertical="center" wrapText="1"/>
    </xf>
    <xf numFmtId="0" fontId="45" fillId="0" borderId="3" xfId="14" applyFont="1" applyBorder="1" applyAlignment="1">
      <alignment horizontal="center" vertical="center"/>
    </xf>
    <xf numFmtId="14" fontId="45" fillId="0" borderId="3" xfId="14" applyNumberFormat="1" applyFont="1" applyBorder="1" applyAlignment="1">
      <alignment horizontal="center" vertical="center"/>
    </xf>
    <xf numFmtId="44" fontId="45" fillId="0" borderId="3" xfId="16" applyFont="1" applyFill="1" applyBorder="1" applyAlignment="1">
      <alignment horizontal="center" vertical="center"/>
    </xf>
    <xf numFmtId="49" fontId="45" fillId="0" borderId="3" xfId="14" applyNumberFormat="1" applyFont="1" applyBorder="1" applyAlignment="1">
      <alignment horizontal="center" vertical="center"/>
    </xf>
    <xf numFmtId="0" fontId="19" fillId="0" borderId="3" xfId="0" applyFont="1" applyBorder="1" applyAlignment="1">
      <alignment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37" fillId="0" borderId="1" xfId="17" applyFont="1" applyBorder="1" applyAlignment="1">
      <alignment horizontal="center" vertical="center"/>
    </xf>
    <xf numFmtId="2" fontId="25" fillId="3" borderId="1" xfId="17" applyNumberFormat="1" applyFont="1" applyFill="1" applyBorder="1" applyAlignment="1">
      <alignment horizontal="center" vertical="center"/>
    </xf>
    <xf numFmtId="2" fontId="9" fillId="0" borderId="4" xfId="17" applyNumberFormat="1" applyFont="1" applyBorder="1" applyAlignment="1">
      <alignment horizontal="center" vertical="center"/>
    </xf>
    <xf numFmtId="2" fontId="9" fillId="10" borderId="3" xfId="17" applyNumberFormat="1" applyFont="1" applyFill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 wrapText="1"/>
    </xf>
    <xf numFmtId="0" fontId="19" fillId="0" borderId="48" xfId="17" applyFont="1" applyBorder="1" applyAlignment="1">
      <alignment horizontal="center" vertical="center"/>
    </xf>
    <xf numFmtId="2" fontId="9" fillId="0" borderId="1" xfId="17" applyNumberFormat="1" applyFont="1" applyBorder="1" applyAlignment="1">
      <alignment horizontal="center" vertical="center"/>
    </xf>
    <xf numFmtId="0" fontId="37" fillId="0" borderId="3" xfId="17" applyFont="1" applyBorder="1" applyAlignment="1">
      <alignment horizontal="center" vertical="center"/>
    </xf>
    <xf numFmtId="0" fontId="25" fillId="0" borderId="3" xfId="17" applyFont="1" applyBorder="1" applyAlignment="1">
      <alignment horizontal="center" vertical="center"/>
    </xf>
    <xf numFmtId="2" fontId="7" fillId="0" borderId="4" xfId="17" applyNumberFormat="1" applyFont="1" applyBorder="1" applyAlignment="1">
      <alignment horizontal="center" vertical="center" wrapText="1"/>
    </xf>
    <xf numFmtId="2" fontId="19" fillId="0" borderId="3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 wrapText="1"/>
    </xf>
    <xf numFmtId="49" fontId="10" fillId="0" borderId="11" xfId="14" applyNumberFormat="1" applyFont="1" applyBorder="1" applyAlignment="1">
      <alignment horizontal="center"/>
    </xf>
    <xf numFmtId="0" fontId="20" fillId="0" borderId="0" xfId="14" applyFont="1" applyAlignment="1">
      <alignment horizontal="left" vertical="center"/>
    </xf>
    <xf numFmtId="44" fontId="10" fillId="0" borderId="0" xfId="16" applyFont="1" applyFill="1" applyBorder="1" applyAlignment="1">
      <alignment horizontal="center"/>
    </xf>
    <xf numFmtId="44" fontId="10" fillId="0" borderId="12" xfId="16" applyFont="1" applyFill="1" applyBorder="1" applyAlignment="1">
      <alignment horizontal="center"/>
    </xf>
    <xf numFmtId="0" fontId="38" fillId="0" borderId="0" xfId="0" applyFont="1"/>
    <xf numFmtId="0" fontId="23" fillId="2" borderId="3" xfId="0" applyFont="1" applyFill="1" applyBorder="1" applyAlignment="1">
      <alignment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40" fillId="0" borderId="48" xfId="0" applyFont="1" applyBorder="1"/>
    <xf numFmtId="0" fontId="40" fillId="3" borderId="0" xfId="0" applyFont="1" applyFill="1"/>
    <xf numFmtId="0" fontId="0" fillId="3" borderId="0" xfId="0" applyFill="1"/>
    <xf numFmtId="167" fontId="9" fillId="2" borderId="3" xfId="8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 wrapText="1"/>
    </xf>
    <xf numFmtId="43" fontId="9" fillId="2" borderId="4" xfId="8" applyFont="1" applyFill="1" applyBorder="1" applyAlignment="1" applyProtection="1">
      <alignment vertical="center" wrapText="1"/>
    </xf>
    <xf numFmtId="4" fontId="9" fillId="2" borderId="4" xfId="8" applyNumberFormat="1" applyFont="1" applyFill="1" applyBorder="1" applyAlignment="1" applyProtection="1">
      <alignment vertical="center" wrapText="1"/>
    </xf>
    <xf numFmtId="0" fontId="15" fillId="2" borderId="6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 wrapText="1"/>
    </xf>
    <xf numFmtId="43" fontId="15" fillId="2" borderId="10" xfId="8" applyFont="1" applyFill="1" applyBorder="1" applyAlignment="1" applyProtection="1">
      <alignment vertical="center" wrapText="1"/>
    </xf>
    <xf numFmtId="4" fontId="15" fillId="2" borderId="10" xfId="8" applyNumberFormat="1" applyFont="1" applyFill="1" applyBorder="1" applyAlignment="1" applyProtection="1">
      <alignment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0" fillId="2" borderId="4" xfId="0" applyFont="1" applyFill="1" applyBorder="1" applyAlignment="1">
      <alignment horizontal="right" vertical="center"/>
    </xf>
    <xf numFmtId="4" fontId="12" fillId="2" borderId="4" xfId="8" applyNumberFormat="1" applyFont="1" applyFill="1" applyBorder="1" applyAlignment="1" applyProtection="1">
      <alignment vertical="center"/>
    </xf>
    <xf numFmtId="0" fontId="12" fillId="2" borderId="4" xfId="0" applyFont="1" applyFill="1" applyBorder="1" applyAlignment="1">
      <alignment wrapText="1"/>
    </xf>
    <xf numFmtId="0" fontId="10" fillId="2" borderId="13" xfId="0" applyFont="1" applyFill="1" applyBorder="1" applyAlignment="1">
      <alignment horizontal="right" vertical="center" wrapText="1"/>
    </xf>
    <xf numFmtId="49" fontId="11" fillId="2" borderId="13" xfId="0" applyNumberFormat="1" applyFont="1" applyFill="1" applyBorder="1" applyAlignment="1">
      <alignment vertical="center"/>
    </xf>
    <xf numFmtId="0" fontId="10" fillId="2" borderId="13" xfId="0" applyFont="1" applyFill="1" applyBorder="1" applyAlignment="1">
      <alignment horizontal="right" vertical="center"/>
    </xf>
    <xf numFmtId="0" fontId="11" fillId="2" borderId="13" xfId="0" applyFont="1" applyFill="1" applyBorder="1" applyAlignment="1">
      <alignment vertical="center"/>
    </xf>
    <xf numFmtId="43" fontId="11" fillId="2" borderId="13" xfId="8" applyFont="1" applyFill="1" applyBorder="1" applyAlignment="1" applyProtection="1">
      <alignment vertical="center"/>
    </xf>
    <xf numFmtId="0" fontId="12" fillId="2" borderId="13" xfId="0" applyFont="1" applyFill="1" applyBorder="1" applyAlignment="1">
      <alignment wrapText="1"/>
    </xf>
    <xf numFmtId="10" fontId="11" fillId="2" borderId="4" xfId="3" applyNumberFormat="1" applyFont="1" applyFill="1" applyBorder="1" applyAlignment="1" applyProtection="1">
      <alignment horizontal="left" vertical="center" wrapText="1"/>
    </xf>
    <xf numFmtId="10" fontId="11" fillId="2" borderId="13" xfId="3" applyNumberFormat="1" applyFont="1" applyFill="1" applyBorder="1" applyAlignment="1" applyProtection="1">
      <alignment horizontal="left" vertical="center" wrapText="1"/>
    </xf>
    <xf numFmtId="0" fontId="11" fillId="2" borderId="13" xfId="0" applyFont="1" applyFill="1" applyBorder="1" applyAlignment="1">
      <alignment horizontal="left" vertical="center"/>
    </xf>
    <xf numFmtId="10" fontId="13" fillId="2" borderId="13" xfId="3" applyNumberFormat="1" applyFont="1" applyFill="1" applyBorder="1" applyAlignment="1" applyProtection="1">
      <alignment vertical="center" wrapText="1"/>
    </xf>
    <xf numFmtId="10" fontId="13" fillId="2" borderId="13" xfId="3" applyNumberFormat="1" applyFont="1" applyFill="1" applyBorder="1" applyAlignment="1" applyProtection="1">
      <alignment horizontal="left" vertical="center" wrapText="1"/>
    </xf>
    <xf numFmtId="43" fontId="12" fillId="2" borderId="13" xfId="8" applyFont="1" applyFill="1" applyBorder="1" applyAlignment="1" applyProtection="1">
      <alignment vertical="center" wrapText="1"/>
    </xf>
    <xf numFmtId="14" fontId="12" fillId="2" borderId="13" xfId="8" applyNumberFormat="1" applyFont="1" applyFill="1" applyBorder="1" applyAlignment="1" applyProtection="1">
      <alignment horizontal="left" vertical="center" wrapText="1"/>
    </xf>
    <xf numFmtId="49" fontId="11" fillId="2" borderId="10" xfId="0" applyNumberFormat="1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2" fontId="12" fillId="2" borderId="10" xfId="0" applyNumberFormat="1" applyFont="1" applyFill="1" applyBorder="1" applyAlignment="1">
      <alignment horizontal="center" vertical="center" wrapText="1"/>
    </xf>
    <xf numFmtId="4" fontId="12" fillId="2" borderId="10" xfId="8" applyNumberFormat="1" applyFont="1" applyFill="1" applyBorder="1" applyAlignment="1" applyProtection="1">
      <alignment vertical="center" wrapText="1"/>
    </xf>
    <xf numFmtId="0" fontId="12" fillId="2" borderId="13" xfId="0" applyFont="1" applyFill="1" applyBorder="1" applyAlignment="1">
      <alignment horizontal="center" vertical="center" wrapText="1"/>
    </xf>
    <xf numFmtId="4" fontId="12" fillId="2" borderId="13" xfId="8" applyNumberFormat="1" applyFont="1" applyFill="1" applyBorder="1" applyAlignment="1" applyProtection="1">
      <alignment horizontal="center" vertical="center" wrapText="1"/>
    </xf>
    <xf numFmtId="43" fontId="12" fillId="2" borderId="13" xfId="8" applyFont="1" applyFill="1" applyBorder="1" applyAlignment="1" applyProtection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4" fontId="23" fillId="2" borderId="4" xfId="8" applyNumberFormat="1" applyFont="1" applyFill="1" applyBorder="1" applyAlignment="1">
      <alignment horizontal="right" vertical="center" wrapText="1"/>
    </xf>
    <xf numFmtId="4" fontId="11" fillId="2" borderId="4" xfId="0" applyNumberFormat="1" applyFont="1" applyFill="1" applyBorder="1" applyAlignment="1">
      <alignment horizontal="right" vertical="center"/>
    </xf>
    <xf numFmtId="0" fontId="24" fillId="2" borderId="0" xfId="14" applyFill="1"/>
    <xf numFmtId="0" fontId="9" fillId="2" borderId="4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49" fontId="11" fillId="2" borderId="10" xfId="0" applyNumberFormat="1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4" xfId="0" applyFont="1" applyFill="1" applyBorder="1" applyAlignment="1">
      <alignment vertical="center"/>
    </xf>
    <xf numFmtId="0" fontId="25" fillId="0" borderId="0" xfId="17" applyFont="1" applyAlignment="1">
      <alignment horizontal="center"/>
    </xf>
    <xf numFmtId="0" fontId="0" fillId="2" borderId="6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10" fillId="2" borderId="6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3" xfId="3" applyNumberFormat="1" applyFont="1" applyFill="1" applyBorder="1" applyAlignment="1" applyProtection="1">
      <alignment horizontal="center" vertical="center" wrapText="1"/>
    </xf>
    <xf numFmtId="0" fontId="46" fillId="2" borderId="4" xfId="0" applyFont="1" applyFill="1" applyBorder="1" applyAlignment="1">
      <alignment horizontal="right" vertical="center" wrapText="1"/>
    </xf>
    <xf numFmtId="0" fontId="19" fillId="2" borderId="3" xfId="0" applyFont="1" applyFill="1" applyBorder="1" applyAlignment="1">
      <alignment horizontal="right" vertical="center"/>
    </xf>
    <xf numFmtId="2" fontId="19" fillId="2" borderId="3" xfId="0" applyNumberFormat="1" applyFont="1" applyFill="1" applyBorder="1" applyAlignment="1">
      <alignment horizontal="center" vertical="center"/>
    </xf>
    <xf numFmtId="0" fontId="0" fillId="2" borderId="0" xfId="0" applyFill="1"/>
    <xf numFmtId="4" fontId="23" fillId="2" borderId="3" xfId="8" applyNumberFormat="1" applyFont="1" applyFill="1" applyBorder="1" applyAlignment="1">
      <alignment horizontal="right" vertical="center" wrapText="1"/>
    </xf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9" fontId="7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left" vertical="center" wrapText="1"/>
    </xf>
    <xf numFmtId="0" fontId="48" fillId="2" borderId="4" xfId="0" applyFont="1" applyFill="1" applyBorder="1" applyAlignment="1">
      <alignment vertical="center" wrapText="1"/>
    </xf>
    <xf numFmtId="0" fontId="23" fillId="2" borderId="4" xfId="0" applyFont="1" applyFill="1" applyBorder="1" applyAlignment="1">
      <alignment vertical="center"/>
    </xf>
    <xf numFmtId="43" fontId="36" fillId="2" borderId="4" xfId="8" applyFont="1" applyFill="1" applyBorder="1" applyAlignment="1">
      <alignment vertical="center"/>
    </xf>
    <xf numFmtId="43" fontId="48" fillId="2" borderId="4" xfId="8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6" fillId="2" borderId="0" xfId="0" applyFont="1" applyFill="1" applyAlignment="1">
      <alignment vertical="center" wrapText="1"/>
    </xf>
    <xf numFmtId="43" fontId="36" fillId="2" borderId="0" xfId="8" applyFont="1" applyFill="1" applyAlignment="1">
      <alignment vertical="center"/>
    </xf>
    <xf numFmtId="0" fontId="36" fillId="2" borderId="10" xfId="0" applyFont="1" applyFill="1" applyBorder="1" applyAlignment="1">
      <alignment vertical="center"/>
    </xf>
    <xf numFmtId="0" fontId="36" fillId="2" borderId="4" xfId="0" applyFont="1" applyFill="1" applyBorder="1" applyAlignment="1">
      <alignment vertical="center" wrapText="1"/>
    </xf>
    <xf numFmtId="0" fontId="36" fillId="2" borderId="10" xfId="0" applyFont="1" applyFill="1" applyBorder="1" applyAlignment="1">
      <alignment vertical="center" wrapText="1"/>
    </xf>
    <xf numFmtId="0" fontId="36" fillId="2" borderId="13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4" fontId="36" fillId="2" borderId="4" xfId="8" applyNumberFormat="1" applyFont="1" applyFill="1" applyBorder="1" applyAlignment="1">
      <alignment vertical="center"/>
    </xf>
    <xf numFmtId="0" fontId="2" fillId="2" borderId="13" xfId="0" applyFont="1" applyFill="1" applyBorder="1" applyAlignment="1">
      <alignment horizontal="center" vertical="center"/>
    </xf>
    <xf numFmtId="4" fontId="36" fillId="2" borderId="13" xfId="8" applyNumberFormat="1" applyFont="1" applyFill="1" applyBorder="1" applyAlignment="1">
      <alignment vertical="center"/>
    </xf>
    <xf numFmtId="0" fontId="36" fillId="2" borderId="4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36" fillId="0" borderId="0" xfId="0" applyFont="1" applyAlignment="1">
      <alignment vertical="center" wrapText="1"/>
    </xf>
    <xf numFmtId="43" fontId="36" fillId="0" borderId="0" xfId="8" applyFont="1" applyAlignment="1">
      <alignment vertical="center"/>
    </xf>
    <xf numFmtId="0" fontId="20" fillId="0" borderId="44" xfId="14" applyFont="1" applyBorder="1" applyAlignment="1">
      <alignment horizontal="center" vertical="center"/>
    </xf>
    <xf numFmtId="44" fontId="10" fillId="0" borderId="44" xfId="16" applyFont="1" applyFill="1" applyBorder="1" applyAlignment="1">
      <alignment horizontal="center"/>
    </xf>
    <xf numFmtId="0" fontId="36" fillId="0" borderId="0" xfId="0" applyFont="1"/>
    <xf numFmtId="0" fontId="39" fillId="12" borderId="0" xfId="0" applyFont="1" applyFill="1"/>
    <xf numFmtId="0" fontId="39" fillId="13" borderId="0" xfId="0" applyFont="1" applyFill="1"/>
    <xf numFmtId="0" fontId="10" fillId="0" borderId="45" xfId="14" applyFont="1" applyBorder="1" applyAlignment="1">
      <alignment horizontal="center" vertical="center"/>
    </xf>
    <xf numFmtId="0" fontId="10" fillId="0" borderId="43" xfId="14" applyFont="1" applyBorder="1" applyAlignment="1">
      <alignment horizontal="center" vertical="center"/>
    </xf>
    <xf numFmtId="49" fontId="7" fillId="7" borderId="4" xfId="0" applyNumberFormat="1" applyFont="1" applyFill="1" applyBorder="1" applyAlignment="1">
      <alignment horizontal="center" vertical="center"/>
    </xf>
    <xf numFmtId="49" fontId="30" fillId="8" borderId="38" xfId="14" applyNumberFormat="1" applyFont="1" applyFill="1" applyBorder="1" applyAlignment="1" applyProtection="1">
      <alignment vertical="center" wrapText="1"/>
      <protection locked="0"/>
    </xf>
    <xf numFmtId="0" fontId="31" fillId="9" borderId="37" xfId="14" applyFont="1" applyFill="1" applyBorder="1" applyAlignment="1" applyProtection="1">
      <alignment vertical="center"/>
      <protection locked="0"/>
    </xf>
    <xf numFmtId="10" fontId="31" fillId="9" borderId="38" xfId="14" applyNumberFormat="1" applyFont="1" applyFill="1" applyBorder="1" applyAlignment="1" applyProtection="1">
      <alignment horizontal="left" vertical="center"/>
      <protection locked="0"/>
    </xf>
    <xf numFmtId="4" fontId="31" fillId="9" borderId="38" xfId="14" applyNumberFormat="1" applyFont="1" applyFill="1" applyBorder="1" applyAlignment="1" applyProtection="1">
      <alignment vertical="center"/>
      <protection locked="0"/>
    </xf>
    <xf numFmtId="0" fontId="31" fillId="9" borderId="38" xfId="14" applyFont="1" applyFill="1" applyBorder="1" applyAlignment="1" applyProtection="1">
      <alignment vertical="center"/>
      <protection locked="0"/>
    </xf>
    <xf numFmtId="0" fontId="9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50" fillId="0" borderId="0" xfId="0" applyFont="1" applyAlignment="1">
      <alignment horizontal="right" vertical="center"/>
    </xf>
    <xf numFmtId="0" fontId="51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53" fillId="0" borderId="3" xfId="0" applyFont="1" applyBorder="1" applyAlignment="1">
      <alignment vertical="center" textRotation="90"/>
    </xf>
    <xf numFmtId="0" fontId="51" fillId="0" borderId="3" xfId="0" applyFont="1" applyBorder="1" applyAlignment="1">
      <alignment vertical="center" wrapText="1"/>
    </xf>
    <xf numFmtId="0" fontId="36" fillId="0" borderId="6" xfId="0" applyFont="1" applyBorder="1"/>
    <xf numFmtId="0" fontId="36" fillId="0" borderId="11" xfId="0" applyFont="1" applyBorder="1"/>
    <xf numFmtId="0" fontId="36" fillId="0" borderId="8" xfId="0" applyFont="1" applyBorder="1"/>
    <xf numFmtId="0" fontId="7" fillId="2" borderId="57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 wrapText="1"/>
    </xf>
    <xf numFmtId="0" fontId="36" fillId="2" borderId="6" xfId="0" applyFont="1" applyFill="1" applyBorder="1" applyAlignment="1">
      <alignment vertical="center"/>
    </xf>
    <xf numFmtId="43" fontId="9" fillId="2" borderId="2" xfId="8" applyFont="1" applyFill="1" applyBorder="1" applyAlignment="1" applyProtection="1">
      <alignment vertical="center" wrapText="1"/>
    </xf>
    <xf numFmtId="0" fontId="36" fillId="2" borderId="11" xfId="0" applyFont="1" applyFill="1" applyBorder="1" applyAlignment="1">
      <alignment vertical="center"/>
    </xf>
    <xf numFmtId="43" fontId="15" fillId="2" borderId="7" xfId="8" applyFont="1" applyFill="1" applyBorder="1" applyAlignment="1" applyProtection="1">
      <alignment vertical="center" wrapText="1"/>
    </xf>
    <xf numFmtId="0" fontId="36" fillId="2" borderId="8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right" vertical="center" wrapText="1"/>
    </xf>
    <xf numFmtId="0" fontId="10" fillId="2" borderId="8" xfId="0" applyFont="1" applyFill="1" applyBorder="1" applyAlignment="1">
      <alignment horizontal="righ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12" fillId="2" borderId="8" xfId="0" applyFont="1" applyFill="1" applyBorder="1" applyAlignment="1">
      <alignment horizontal="center" vertical="center" wrapText="1"/>
    </xf>
    <xf numFmtId="43" fontId="12" fillId="2" borderId="9" xfId="8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43" fontId="23" fillId="2" borderId="2" xfId="8" applyFont="1" applyFill="1" applyBorder="1" applyAlignment="1" applyProtection="1">
      <alignment horizontal="right" vertical="center" wrapText="1"/>
    </xf>
    <xf numFmtId="0" fontId="5" fillId="2" borderId="0" xfId="14" applyFont="1" applyFill="1" applyAlignment="1">
      <alignment vertical="center"/>
    </xf>
    <xf numFmtId="0" fontId="24" fillId="2" borderId="0" xfId="14" applyFill="1" applyAlignment="1">
      <alignment vertical="center"/>
    </xf>
    <xf numFmtId="0" fontId="30" fillId="8" borderId="40" xfId="14" applyFont="1" applyFill="1" applyBorder="1" applyAlignment="1">
      <alignment vertical="center"/>
    </xf>
    <xf numFmtId="2" fontId="25" fillId="3" borderId="1" xfId="17" applyNumberFormat="1" applyFont="1" applyFill="1" applyBorder="1" applyAlignment="1">
      <alignment vertical="center"/>
    </xf>
    <xf numFmtId="0" fontId="7" fillId="16" borderId="6" xfId="17" applyFont="1" applyFill="1" applyBorder="1" applyAlignment="1">
      <alignment horizontal="center" vertical="center"/>
    </xf>
    <xf numFmtId="0" fontId="25" fillId="16" borderId="0" xfId="17" applyFont="1" applyFill="1" applyAlignment="1">
      <alignment vertical="center"/>
    </xf>
    <xf numFmtId="0" fontId="7" fillId="16" borderId="10" xfId="17" applyFont="1" applyFill="1" applyBorder="1" applyAlignment="1">
      <alignment vertical="center"/>
    </xf>
    <xf numFmtId="0" fontId="7" fillId="16" borderId="7" xfId="17" applyFont="1" applyFill="1" applyBorder="1" applyAlignment="1">
      <alignment vertical="center"/>
    </xf>
    <xf numFmtId="0" fontId="7" fillId="0" borderId="3" xfId="17" applyFont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49" fontId="7" fillId="8" borderId="1" xfId="17" applyNumberFormat="1" applyFont="1" applyFill="1" applyBorder="1" applyAlignment="1">
      <alignment horizontal="center" vertical="center"/>
    </xf>
    <xf numFmtId="44" fontId="10" fillId="0" borderId="45" xfId="16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10" fillId="2" borderId="6" xfId="0" applyFont="1" applyFill="1" applyBorder="1" applyAlignment="1">
      <alignment vertical="center"/>
    </xf>
    <xf numFmtId="0" fontId="0" fillId="2" borderId="7" xfId="0" applyFill="1" applyBorder="1"/>
    <xf numFmtId="0" fontId="12" fillId="5" borderId="61" xfId="14" applyFont="1" applyFill="1" applyBorder="1" applyAlignment="1">
      <alignment horizontal="center"/>
    </xf>
    <xf numFmtId="0" fontId="12" fillId="5" borderId="62" xfId="14" applyFont="1" applyFill="1" applyBorder="1" applyAlignment="1">
      <alignment horizontal="center"/>
    </xf>
    <xf numFmtId="0" fontId="12" fillId="5" borderId="63" xfId="14" applyFont="1" applyFill="1" applyBorder="1" applyAlignment="1">
      <alignment horizontal="center"/>
    </xf>
    <xf numFmtId="0" fontId="10" fillId="0" borderId="64" xfId="14" applyFont="1" applyBorder="1" applyAlignment="1">
      <alignment horizontal="center"/>
    </xf>
    <xf numFmtId="44" fontId="10" fillId="0" borderId="65" xfId="16" applyFont="1" applyFill="1" applyBorder="1" applyAlignment="1">
      <alignment horizontal="center"/>
    </xf>
    <xf numFmtId="0" fontId="10" fillId="0" borderId="66" xfId="14" applyFont="1" applyBorder="1" applyAlignment="1">
      <alignment horizontal="center"/>
    </xf>
    <xf numFmtId="44" fontId="10" fillId="0" borderId="67" xfId="16" applyFont="1" applyFill="1" applyBorder="1" applyAlignment="1">
      <alignment horizontal="center"/>
    </xf>
    <xf numFmtId="0" fontId="10" fillId="0" borderId="68" xfId="14" applyFont="1" applyBorder="1" applyAlignment="1">
      <alignment horizontal="center"/>
    </xf>
    <xf numFmtId="44" fontId="10" fillId="0" borderId="69" xfId="16" applyFont="1" applyFill="1" applyBorder="1" applyAlignment="1">
      <alignment horizontal="center"/>
    </xf>
    <xf numFmtId="0" fontId="12" fillId="5" borderId="70" xfId="14" applyFont="1" applyFill="1" applyBorder="1" applyAlignment="1">
      <alignment horizontal="center"/>
    </xf>
    <xf numFmtId="0" fontId="12" fillId="5" borderId="71" xfId="14" applyFont="1" applyFill="1" applyBorder="1" applyAlignment="1">
      <alignment horizontal="center" vertical="center"/>
    </xf>
    <xf numFmtId="0" fontId="12" fillId="0" borderId="70" xfId="14" applyFont="1" applyBorder="1" applyAlignment="1">
      <alignment horizontal="center" vertical="center"/>
    </xf>
    <xf numFmtId="44" fontId="12" fillId="0" borderId="71" xfId="16" applyFont="1" applyFill="1" applyBorder="1" applyAlignment="1">
      <alignment horizontal="center" vertical="center"/>
    </xf>
    <xf numFmtId="0" fontId="12" fillId="5" borderId="70" xfId="14" applyFont="1" applyFill="1" applyBorder="1" applyAlignment="1">
      <alignment horizontal="center" vertical="center"/>
    </xf>
    <xf numFmtId="0" fontId="10" fillId="0" borderId="75" xfId="14" applyFont="1" applyBorder="1" applyAlignment="1">
      <alignment horizontal="center"/>
    </xf>
    <xf numFmtId="0" fontId="7" fillId="2" borderId="13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49" fontId="7" fillId="8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vertical="center"/>
    </xf>
    <xf numFmtId="0" fontId="35" fillId="5" borderId="4" xfId="0" applyFont="1" applyFill="1" applyBorder="1" applyAlignment="1">
      <alignment vertical="center"/>
    </xf>
    <xf numFmtId="0" fontId="10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left" vertical="center" wrapText="1"/>
    </xf>
    <xf numFmtId="4" fontId="7" fillId="5" borderId="4" xfId="0" applyNumberFormat="1" applyFont="1" applyFill="1" applyBorder="1" applyAlignment="1">
      <alignment vertical="center"/>
    </xf>
    <xf numFmtId="0" fontId="36" fillId="5" borderId="13" xfId="0" applyFont="1" applyFill="1" applyBorder="1" applyAlignment="1">
      <alignment vertical="center"/>
    </xf>
    <xf numFmtId="165" fontId="7" fillId="5" borderId="2" xfId="0" applyNumberFormat="1" applyFont="1" applyFill="1" applyBorder="1" applyAlignment="1">
      <alignment horizontal="right" vertical="center"/>
    </xf>
    <xf numFmtId="4" fontId="12" fillId="2" borderId="9" xfId="3" applyNumberFormat="1" applyFont="1" applyFill="1" applyBorder="1" applyAlignment="1" applyProtection="1">
      <alignment horizontal="right" vertical="center" wrapText="1"/>
    </xf>
    <xf numFmtId="0" fontId="55" fillId="2" borderId="0" xfId="0" applyFont="1" applyFill="1" applyAlignment="1">
      <alignment vertical="center"/>
    </xf>
    <xf numFmtId="0" fontId="57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 wrapText="1"/>
    </xf>
    <xf numFmtId="43" fontId="55" fillId="2" borderId="0" xfId="8" applyFont="1" applyFill="1" applyAlignment="1">
      <alignment vertical="center"/>
    </xf>
    <xf numFmtId="4" fontId="55" fillId="2" borderId="0" xfId="8" applyNumberFormat="1" applyFont="1" applyFill="1" applyAlignment="1">
      <alignment vertical="center"/>
    </xf>
    <xf numFmtId="43" fontId="55" fillId="2" borderId="5" xfId="8" applyFont="1" applyFill="1" applyBorder="1" applyAlignment="1">
      <alignment vertical="center"/>
    </xf>
    <xf numFmtId="0" fontId="55" fillId="0" borderId="0" xfId="0" applyFont="1" applyAlignment="1">
      <alignment vertical="center"/>
    </xf>
    <xf numFmtId="0" fontId="58" fillId="2" borderId="4" xfId="0" applyFont="1" applyFill="1" applyBorder="1" applyAlignment="1">
      <alignment vertical="center"/>
    </xf>
    <xf numFmtId="43" fontId="58" fillId="2" borderId="3" xfId="8" applyFont="1" applyFill="1" applyBorder="1" applyAlignment="1" applyProtection="1">
      <alignment vertical="center" wrapText="1"/>
    </xf>
    <xf numFmtId="43" fontId="59" fillId="2" borderId="5" xfId="8" applyFont="1" applyFill="1" applyBorder="1" applyAlignment="1" applyProtection="1">
      <alignment vertical="center" wrapText="1"/>
    </xf>
    <xf numFmtId="0" fontId="60" fillId="4" borderId="3" xfId="0" applyFont="1" applyFill="1" applyBorder="1" applyAlignment="1">
      <alignment vertical="center" wrapText="1"/>
    </xf>
    <xf numFmtId="4" fontId="45" fillId="2" borderId="5" xfId="8" applyNumberFormat="1" applyFont="1" applyFill="1" applyBorder="1" applyAlignment="1" applyProtection="1">
      <alignment vertical="center"/>
    </xf>
    <xf numFmtId="0" fontId="45" fillId="2" borderId="44" xfId="0" applyFont="1" applyFill="1" applyBorder="1" applyAlignment="1">
      <alignment wrapText="1"/>
    </xf>
    <xf numFmtId="0" fontId="45" fillId="2" borderId="48" xfId="0" applyFont="1" applyFill="1" applyBorder="1" applyAlignment="1">
      <alignment wrapText="1"/>
    </xf>
    <xf numFmtId="0" fontId="45" fillId="2" borderId="48" xfId="0" applyFont="1" applyFill="1" applyBorder="1" applyAlignment="1">
      <alignment horizontal="center" wrapText="1"/>
    </xf>
    <xf numFmtId="43" fontId="55" fillId="2" borderId="44" xfId="8" applyFont="1" applyFill="1" applyBorder="1" applyAlignment="1">
      <alignment vertical="center"/>
    </xf>
    <xf numFmtId="0" fontId="45" fillId="0" borderId="3" xfId="0" applyFont="1" applyBorder="1" applyAlignment="1">
      <alignment vertical="center" wrapText="1"/>
    </xf>
    <xf numFmtId="43" fontId="45" fillId="2" borderId="48" xfId="8" applyFont="1" applyFill="1" applyBorder="1" applyAlignment="1" applyProtection="1">
      <alignment horizontal="center" vertical="center" wrapText="1"/>
    </xf>
    <xf numFmtId="43" fontId="61" fillId="7" borderId="3" xfId="8" applyFont="1" applyFill="1" applyBorder="1" applyAlignment="1" applyProtection="1">
      <alignment horizontal="center" vertical="center" wrapText="1"/>
    </xf>
    <xf numFmtId="43" fontId="45" fillId="5" borderId="44" xfId="8" applyFont="1" applyFill="1" applyBorder="1" applyAlignment="1" applyProtection="1">
      <alignment vertical="center" wrapText="1"/>
    </xf>
    <xf numFmtId="43" fontId="63" fillId="2" borderId="3" xfId="8" applyFont="1" applyFill="1" applyBorder="1" applyAlignment="1" applyProtection="1">
      <alignment horizontal="right" vertical="center" wrapText="1"/>
    </xf>
    <xf numFmtId="43" fontId="61" fillId="2" borderId="3" xfId="8" applyFont="1" applyFill="1" applyBorder="1" applyAlignment="1" applyProtection="1">
      <alignment horizontal="right" vertical="center" wrapText="1"/>
    </xf>
    <xf numFmtId="43" fontId="45" fillId="5" borderId="3" xfId="8" applyFont="1" applyFill="1" applyBorder="1" applyAlignment="1" applyProtection="1">
      <alignment horizontal="right" vertical="center" wrapText="1"/>
    </xf>
    <xf numFmtId="43" fontId="45" fillId="8" borderId="3" xfId="8" applyFont="1" applyFill="1" applyBorder="1" applyAlignment="1" applyProtection="1">
      <alignment horizontal="right" vertical="center" wrapText="1"/>
    </xf>
    <xf numFmtId="43" fontId="45" fillId="7" borderId="3" xfId="8" applyFont="1" applyFill="1" applyBorder="1" applyAlignment="1" applyProtection="1">
      <alignment horizontal="right" vertical="center" wrapText="1"/>
    </xf>
    <xf numFmtId="165" fontId="62" fillId="5" borderId="3" xfId="0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center" vertical="center"/>
    </xf>
    <xf numFmtId="0" fontId="55" fillId="0" borderId="0" xfId="0" applyFont="1" applyAlignment="1">
      <alignment vertical="center" wrapText="1"/>
    </xf>
    <xf numFmtId="43" fontId="55" fillId="0" borderId="0" xfId="8" applyFont="1" applyAlignment="1">
      <alignment vertical="center"/>
    </xf>
    <xf numFmtId="4" fontId="55" fillId="0" borderId="0" xfId="8" applyNumberFormat="1" applyFont="1" applyAlignment="1">
      <alignment vertical="center"/>
    </xf>
    <xf numFmtId="43" fontId="55" fillId="0" borderId="44" xfId="8" applyFont="1" applyBorder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43" fontId="7" fillId="7" borderId="4" xfId="8" applyFont="1" applyFill="1" applyBorder="1" applyAlignment="1" applyProtection="1">
      <alignment horizontal="center" vertical="center" wrapText="1"/>
    </xf>
    <xf numFmtId="4" fontId="7" fillId="7" borderId="4" xfId="8" applyNumberFormat="1" applyFont="1" applyFill="1" applyBorder="1" applyAlignment="1" applyProtection="1">
      <alignment horizontal="center" vertical="center" wrapText="1"/>
    </xf>
    <xf numFmtId="0" fontId="9" fillId="5" borderId="0" xfId="0" applyFont="1" applyFill="1" applyAlignment="1">
      <alignment vertical="center" wrapText="1"/>
    </xf>
    <xf numFmtId="43" fontId="9" fillId="5" borderId="0" xfId="8" applyFont="1" applyFill="1" applyBorder="1" applyAlignment="1" applyProtection="1">
      <alignment vertical="center" wrapText="1"/>
    </xf>
    <xf numFmtId="4" fontId="9" fillId="5" borderId="0" xfId="8" applyNumberFormat="1" applyFont="1" applyFill="1" applyBorder="1" applyAlignment="1" applyProtection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3" fontId="9" fillId="2" borderId="4" xfId="8" applyFont="1" applyFill="1" applyBorder="1" applyAlignment="1" applyProtection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/>
    </xf>
    <xf numFmtId="4" fontId="9" fillId="2" borderId="4" xfId="0" applyNumberFormat="1" applyFont="1" applyFill="1" applyBorder="1" applyAlignment="1">
      <alignment horizontal="right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8" fillId="2" borderId="4" xfId="0" applyFont="1" applyFill="1" applyBorder="1" applyAlignment="1">
      <alignment horizontal="center" vertical="center" wrapText="1"/>
    </xf>
    <xf numFmtId="0" fontId="62" fillId="2" borderId="4" xfId="0" applyFont="1" applyFill="1" applyBorder="1" applyAlignment="1">
      <alignment horizontal="center" vertical="center" wrapText="1"/>
    </xf>
    <xf numFmtId="0" fontId="64" fillId="2" borderId="4" xfId="0" applyFont="1" applyFill="1" applyBorder="1" applyAlignment="1">
      <alignment vertical="center" wrapText="1"/>
    </xf>
    <xf numFmtId="43" fontId="64" fillId="2" borderId="4" xfId="8" applyFont="1" applyFill="1" applyBorder="1" applyAlignment="1">
      <alignment vertical="center"/>
    </xf>
    <xf numFmtId="4" fontId="62" fillId="2" borderId="4" xfId="0" applyNumberFormat="1" applyFont="1" applyFill="1" applyBorder="1" applyAlignment="1">
      <alignment horizontal="right" vertical="center"/>
    </xf>
    <xf numFmtId="0" fontId="9" fillId="0" borderId="0" xfId="17" applyFont="1"/>
    <xf numFmtId="0" fontId="9" fillId="7" borderId="4" xfId="17" applyFont="1" applyFill="1" applyBorder="1" applyAlignment="1">
      <alignment vertical="center"/>
    </xf>
    <xf numFmtId="0" fontId="7" fillId="5" borderId="5" xfId="17" applyFont="1" applyFill="1" applyBorder="1" applyAlignment="1">
      <alignment horizontal="center" vertical="center" wrapText="1"/>
    </xf>
    <xf numFmtId="0" fontId="7" fillId="5" borderId="3" xfId="17" applyFont="1" applyFill="1" applyBorder="1" applyAlignment="1">
      <alignment horizontal="center" vertical="center" wrapText="1"/>
    </xf>
    <xf numFmtId="0" fontId="7" fillId="0" borderId="3" xfId="17" applyFont="1" applyBorder="1" applyAlignment="1">
      <alignment horizontal="center" vertical="center"/>
    </xf>
    <xf numFmtId="0" fontId="9" fillId="0" borderId="11" xfId="17" applyFont="1" applyBorder="1"/>
    <xf numFmtId="2" fontId="9" fillId="3" borderId="8" xfId="17" applyNumberFormat="1" applyFont="1" applyFill="1" applyBorder="1" applyAlignment="1">
      <alignment horizontal="center" vertical="center"/>
    </xf>
    <xf numFmtId="0" fontId="9" fillId="0" borderId="5" xfId="17" applyFont="1" applyBorder="1" applyAlignment="1">
      <alignment horizontal="center" vertical="center" wrapText="1"/>
    </xf>
    <xf numFmtId="2" fontId="7" fillId="0" borderId="1" xfId="17" applyNumberFormat="1" applyFont="1" applyBorder="1" applyAlignment="1">
      <alignment horizontal="center" vertical="center" wrapText="1"/>
    </xf>
    <xf numFmtId="2" fontId="9" fillId="3" borderId="3" xfId="17" applyNumberFormat="1" applyFont="1" applyFill="1" applyBorder="1" applyAlignment="1">
      <alignment horizontal="center" vertical="center"/>
    </xf>
    <xf numFmtId="0" fontId="9" fillId="2" borderId="3" xfId="17" applyFont="1" applyFill="1" applyBorder="1" applyAlignment="1">
      <alignment horizontal="center" vertical="center"/>
    </xf>
    <xf numFmtId="2" fontId="7" fillId="3" borderId="1" xfId="17" applyNumberFormat="1" applyFont="1" applyFill="1" applyBorder="1" applyAlignment="1">
      <alignment horizontal="center" vertical="center" wrapText="1"/>
    </xf>
    <xf numFmtId="0" fontId="7" fillId="2" borderId="3" xfId="17" applyFont="1" applyFill="1" applyBorder="1" applyAlignment="1">
      <alignment horizontal="center" vertical="center" wrapText="1"/>
    </xf>
    <xf numFmtId="0" fontId="9" fillId="2" borderId="3" xfId="17" applyFont="1" applyFill="1" applyBorder="1" applyAlignment="1">
      <alignment horizontal="center" vertical="center" wrapText="1"/>
    </xf>
    <xf numFmtId="49" fontId="7" fillId="7" borderId="1" xfId="17" applyNumberFormat="1" applyFont="1" applyFill="1" applyBorder="1" applyAlignment="1">
      <alignment horizontal="center" vertical="center"/>
    </xf>
    <xf numFmtId="2" fontId="9" fillId="3" borderId="1" xfId="17" applyNumberFormat="1" applyFont="1" applyFill="1" applyBorder="1" applyAlignment="1">
      <alignment horizontal="center" vertical="center"/>
    </xf>
    <xf numFmtId="0" fontId="7" fillId="5" borderId="44" xfId="17" applyFont="1" applyFill="1" applyBorder="1" applyAlignment="1">
      <alignment horizontal="center" vertical="center" wrapText="1"/>
    </xf>
    <xf numFmtId="0" fontId="9" fillId="0" borderId="1" xfId="17" applyFont="1" applyBorder="1"/>
    <xf numFmtId="0" fontId="9" fillId="0" borderId="4" xfId="17" applyFont="1" applyBorder="1" applyAlignment="1">
      <alignment vertical="center"/>
    </xf>
    <xf numFmtId="0" fontId="9" fillId="0" borderId="2" xfId="17" applyFont="1" applyBorder="1" applyAlignment="1">
      <alignment vertical="center"/>
    </xf>
    <xf numFmtId="0" fontId="9" fillId="0" borderId="6" xfId="17" applyFont="1" applyBorder="1"/>
    <xf numFmtId="0" fontId="7" fillId="0" borderId="10" xfId="17" applyFont="1" applyBorder="1" applyAlignment="1">
      <alignment vertical="center"/>
    </xf>
    <xf numFmtId="0" fontId="9" fillId="2" borderId="5" xfId="17" applyFont="1" applyFill="1" applyBorder="1" applyAlignment="1">
      <alignment horizontal="center" vertical="center" wrapText="1"/>
    </xf>
    <xf numFmtId="2" fontId="7" fillId="3" borderId="8" xfId="17" applyNumberFormat="1" applyFont="1" applyFill="1" applyBorder="1" applyAlignment="1">
      <alignment horizontal="center" vertical="center" wrapText="1"/>
    </xf>
    <xf numFmtId="0" fontId="7" fillId="0" borderId="4" xfId="17" applyFont="1" applyBorder="1" applyAlignment="1">
      <alignment vertical="center"/>
    </xf>
    <xf numFmtId="0" fontId="7" fillId="0" borderId="2" xfId="17" applyFont="1" applyBorder="1" applyAlignment="1">
      <alignment vertical="center"/>
    </xf>
    <xf numFmtId="0" fontId="9" fillId="2" borderId="44" xfId="17" applyFont="1" applyFill="1" applyBorder="1" applyAlignment="1">
      <alignment horizontal="center" vertical="center" wrapText="1"/>
    </xf>
    <xf numFmtId="0" fontId="9" fillId="0" borderId="3" xfId="17" applyFont="1" applyBorder="1" applyAlignment="1">
      <alignment horizontal="center" vertical="center"/>
    </xf>
    <xf numFmtId="0" fontId="65" fillId="0" borderId="0" xfId="17" applyFont="1"/>
    <xf numFmtId="0" fontId="65" fillId="0" borderId="0" xfId="17" applyFont="1" applyAlignment="1">
      <alignment horizontal="center"/>
    </xf>
    <xf numFmtId="0" fontId="9" fillId="6" borderId="0" xfId="17" applyFont="1" applyFill="1" applyAlignment="1">
      <alignment vertical="center"/>
    </xf>
    <xf numFmtId="0" fontId="9" fillId="8" borderId="4" xfId="17" applyFont="1" applyFill="1" applyBorder="1" applyAlignment="1">
      <alignment vertical="center"/>
    </xf>
    <xf numFmtId="0" fontId="9" fillId="7" borderId="4" xfId="0" applyFont="1" applyFill="1" applyBorder="1" applyAlignment="1">
      <alignment horizontal="center" vertical="center" wrapText="1"/>
    </xf>
    <xf numFmtId="43" fontId="9" fillId="7" borderId="4" xfId="8" applyFont="1" applyFill="1" applyBorder="1" applyAlignment="1" applyProtection="1">
      <alignment horizontal="right" vertical="center" wrapText="1"/>
    </xf>
    <xf numFmtId="4" fontId="9" fillId="7" borderId="4" xfId="8" applyNumberFormat="1" applyFont="1" applyFill="1" applyBorder="1" applyAlignment="1" applyProtection="1">
      <alignment horizontal="right" vertical="center" wrapText="1"/>
    </xf>
    <xf numFmtId="0" fontId="9" fillId="5" borderId="4" xfId="0" applyFont="1" applyFill="1" applyBorder="1" applyAlignment="1">
      <alignment horizontal="center" vertical="center" wrapText="1"/>
    </xf>
    <xf numFmtId="43" fontId="9" fillId="5" borderId="4" xfId="8" applyFont="1" applyFill="1" applyBorder="1" applyAlignment="1" applyProtection="1">
      <alignment horizontal="right" vertical="center" wrapText="1"/>
    </xf>
    <xf numFmtId="4" fontId="9" fillId="5" borderId="4" xfId="8" applyNumberFormat="1" applyFont="1" applyFill="1" applyBorder="1" applyAlignment="1" applyProtection="1">
      <alignment horizontal="right" vertical="center" wrapText="1"/>
    </xf>
    <xf numFmtId="0" fontId="9" fillId="8" borderId="4" xfId="0" applyFont="1" applyFill="1" applyBorder="1" applyAlignment="1">
      <alignment horizontal="center" vertical="center" wrapText="1"/>
    </xf>
    <xf numFmtId="43" fontId="9" fillId="8" borderId="4" xfId="8" applyFont="1" applyFill="1" applyBorder="1" applyAlignment="1" applyProtection="1">
      <alignment horizontal="right" vertical="center" wrapText="1"/>
    </xf>
    <xf numFmtId="4" fontId="9" fillId="8" borderId="4" xfId="8" applyNumberFormat="1" applyFont="1" applyFill="1" applyBorder="1" applyAlignment="1" applyProtection="1">
      <alignment horizontal="right" vertical="center" wrapText="1"/>
    </xf>
    <xf numFmtId="0" fontId="25" fillId="2" borderId="5" xfId="17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3" fontId="66" fillId="2" borderId="4" xfId="8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horizontal="right" vertical="center"/>
    </xf>
    <xf numFmtId="10" fontId="47" fillId="2" borderId="4" xfId="3" applyNumberFormat="1" applyFont="1" applyFill="1" applyBorder="1" applyAlignment="1" applyProtection="1">
      <alignment horizontal="left" vertical="center" wrapText="1"/>
    </xf>
    <xf numFmtId="10" fontId="54" fillId="2" borderId="4" xfId="0" applyNumberFormat="1" applyFont="1" applyFill="1" applyBorder="1" applyAlignment="1">
      <alignment vertical="center"/>
    </xf>
    <xf numFmtId="0" fontId="47" fillId="2" borderId="4" xfId="0" applyFont="1" applyFill="1" applyBorder="1" applyAlignment="1">
      <alignment vertical="center"/>
    </xf>
    <xf numFmtId="0" fontId="56" fillId="2" borderId="10" xfId="0" applyFont="1" applyFill="1" applyBorder="1" applyAlignment="1">
      <alignment horizontal="left" vertical="center" wrapText="1"/>
    </xf>
    <xf numFmtId="2" fontId="67" fillId="2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4" fontId="67" fillId="2" borderId="10" xfId="8" applyNumberFormat="1" applyFont="1" applyFill="1" applyBorder="1" applyAlignment="1" applyProtection="1">
      <alignment vertical="center" wrapText="1"/>
    </xf>
    <xf numFmtId="0" fontId="19" fillId="0" borderId="3" xfId="0" applyFont="1" applyBorder="1" applyAlignment="1">
      <alignment horizontal="center" vertical="center" wrapText="1"/>
    </xf>
    <xf numFmtId="4" fontId="9" fillId="2" borderId="4" xfId="8" applyNumberFormat="1" applyFont="1" applyFill="1" applyBorder="1" applyAlignment="1" applyProtection="1">
      <alignment horizontal="right" vertical="center" wrapText="1"/>
    </xf>
    <xf numFmtId="4" fontId="9" fillId="2" borderId="2" xfId="8" applyNumberFormat="1" applyFont="1" applyFill="1" applyBorder="1" applyAlignment="1" applyProtection="1">
      <alignment horizontal="right" vertical="center" wrapText="1"/>
    </xf>
    <xf numFmtId="165" fontId="7" fillId="7" borderId="2" xfId="8" applyNumberFormat="1" applyFont="1" applyFill="1" applyBorder="1" applyAlignment="1" applyProtection="1">
      <alignment horizontal="center" vertical="center" wrapText="1"/>
    </xf>
    <xf numFmtId="165" fontId="7" fillId="5" borderId="12" xfId="8" applyNumberFormat="1" applyFont="1" applyFill="1" applyBorder="1" applyAlignment="1" applyProtection="1">
      <alignment vertical="center" wrapText="1"/>
    </xf>
    <xf numFmtId="165" fontId="64" fillId="2" borderId="2" xfId="8" applyNumberFormat="1" applyFont="1" applyFill="1" applyBorder="1" applyAlignment="1">
      <alignment vertical="center"/>
    </xf>
    <xf numFmtId="165" fontId="7" fillId="5" borderId="2" xfId="8" applyNumberFormat="1" applyFont="1" applyFill="1" applyBorder="1" applyAlignment="1" applyProtection="1">
      <alignment horizontal="right" vertical="center" wrapText="1"/>
    </xf>
    <xf numFmtId="165" fontId="7" fillId="8" borderId="2" xfId="8" applyNumberFormat="1" applyFont="1" applyFill="1" applyBorder="1" applyAlignment="1" applyProtection="1">
      <alignment horizontal="right" vertical="center" wrapText="1"/>
    </xf>
    <xf numFmtId="165" fontId="7" fillId="7" borderId="2" xfId="8" applyNumberFormat="1" applyFont="1" applyFill="1" applyBorder="1" applyAlignment="1" applyProtection="1">
      <alignment horizontal="right" vertical="center" wrapText="1"/>
    </xf>
    <xf numFmtId="165" fontId="9" fillId="2" borderId="2" xfId="8" applyNumberFormat="1" applyFont="1" applyFill="1" applyBorder="1" applyAlignment="1" applyProtection="1">
      <alignment horizontal="right" vertical="center" wrapText="1"/>
    </xf>
    <xf numFmtId="165" fontId="66" fillId="2" borderId="2" xfId="8" applyNumberFormat="1" applyFont="1" applyFill="1" applyBorder="1" applyAlignment="1">
      <alignment vertical="center"/>
    </xf>
    <xf numFmtId="165" fontId="11" fillId="2" borderId="2" xfId="8" applyNumberFormat="1" applyFont="1" applyFill="1" applyBorder="1" applyAlignment="1" applyProtection="1">
      <alignment horizontal="right" vertical="center" wrapText="1"/>
    </xf>
    <xf numFmtId="0" fontId="19" fillId="5" borderId="26" xfId="0" applyFont="1" applyFill="1" applyBorder="1" applyAlignment="1">
      <alignment horizontal="center" vertical="center"/>
    </xf>
    <xf numFmtId="10" fontId="30" fillId="8" borderId="38" xfId="14" applyNumberFormat="1" applyFont="1" applyFill="1" applyBorder="1" applyAlignment="1" applyProtection="1">
      <alignment horizontal="left" vertical="center"/>
      <protection locked="0"/>
    </xf>
    <xf numFmtId="0" fontId="9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vertical="center"/>
    </xf>
    <xf numFmtId="0" fontId="37" fillId="2" borderId="21" xfId="0" applyFont="1" applyFill="1" applyBorder="1" applyAlignment="1">
      <alignment horizontal="center" vertical="center"/>
    </xf>
    <xf numFmtId="10" fontId="25" fillId="2" borderId="21" xfId="0" applyNumberFormat="1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10" fontId="18" fillId="2" borderId="79" xfId="3" applyNumberFormat="1" applyFont="1" applyFill="1" applyBorder="1" applyAlignment="1">
      <alignment horizontal="center" vertical="center"/>
    </xf>
    <xf numFmtId="0" fontId="26" fillId="6" borderId="41" xfId="14" applyFont="1" applyFill="1" applyBorder="1" applyAlignment="1" applyProtection="1">
      <alignment horizontal="center" vertical="center"/>
      <protection locked="0"/>
    </xf>
    <xf numFmtId="0" fontId="26" fillId="6" borderId="42" xfId="14" applyFont="1" applyFill="1" applyBorder="1" applyAlignment="1" applyProtection="1">
      <alignment horizontal="center" vertical="center"/>
      <protection locked="0"/>
    </xf>
    <xf numFmtId="0" fontId="32" fillId="6" borderId="35" xfId="14" applyFont="1" applyFill="1" applyBorder="1" applyAlignment="1" applyProtection="1">
      <alignment horizontal="center" vertical="center"/>
      <protection locked="0"/>
    </xf>
    <xf numFmtId="0" fontId="32" fillId="6" borderId="36" xfId="14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9" fillId="14" borderId="6" xfId="0" applyFont="1" applyFill="1" applyBorder="1" applyAlignment="1">
      <alignment horizontal="center" vertical="center" wrapText="1"/>
    </xf>
    <xf numFmtId="0" fontId="49" fillId="14" borderId="7" xfId="0" applyFont="1" applyFill="1" applyBorder="1" applyAlignment="1">
      <alignment horizontal="center" vertical="center" wrapText="1"/>
    </xf>
    <xf numFmtId="0" fontId="49" fillId="14" borderId="11" xfId="0" applyFont="1" applyFill="1" applyBorder="1" applyAlignment="1">
      <alignment horizontal="center" vertical="center" wrapText="1"/>
    </xf>
    <xf numFmtId="0" fontId="49" fillId="14" borderId="12" xfId="0" applyFont="1" applyFill="1" applyBorder="1" applyAlignment="1">
      <alignment horizontal="center" vertical="center" wrapText="1"/>
    </xf>
    <xf numFmtId="0" fontId="49" fillId="14" borderId="8" xfId="0" applyFont="1" applyFill="1" applyBorder="1" applyAlignment="1">
      <alignment horizontal="center" vertical="center" wrapText="1"/>
    </xf>
    <xf numFmtId="0" fontId="49" fillId="14" borderId="9" xfId="0" applyFont="1" applyFill="1" applyBorder="1" applyAlignment="1">
      <alignment horizontal="center" vertical="center" wrapText="1"/>
    </xf>
    <xf numFmtId="0" fontId="50" fillId="0" borderId="3" xfId="0" applyFont="1" applyBorder="1" applyAlignment="1">
      <alignment horizontal="right" vertical="center"/>
    </xf>
    <xf numFmtId="49" fontId="51" fillId="0" borderId="1" xfId="0" applyNumberFormat="1" applyFont="1" applyBorder="1" applyAlignment="1">
      <alignment horizontal="left" vertical="center"/>
    </xf>
    <xf numFmtId="0" fontId="51" fillId="0" borderId="2" xfId="0" applyFont="1" applyBorder="1" applyAlignment="1">
      <alignment horizontal="left" vertical="center"/>
    </xf>
    <xf numFmtId="0" fontId="50" fillId="0" borderId="1" xfId="0" applyFont="1" applyBorder="1" applyAlignment="1">
      <alignment horizontal="right" vertical="center"/>
    </xf>
    <xf numFmtId="0" fontId="50" fillId="0" borderId="2" xfId="0" applyFont="1" applyBorder="1" applyAlignment="1">
      <alignment horizontal="right" vertical="center"/>
    </xf>
    <xf numFmtId="0" fontId="51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9" fontId="52" fillId="15" borderId="10" xfId="3" applyFont="1" applyFill="1" applyBorder="1" applyAlignment="1">
      <alignment horizontal="center" vertical="center"/>
    </xf>
    <xf numFmtId="0" fontId="53" fillId="7" borderId="6" xfId="0" applyFont="1" applyFill="1" applyBorder="1" applyAlignment="1">
      <alignment horizontal="center" vertical="center" textRotation="90"/>
    </xf>
    <xf numFmtId="0" fontId="53" fillId="7" borderId="7" xfId="0" applyFont="1" applyFill="1" applyBorder="1" applyAlignment="1">
      <alignment horizontal="center" vertical="center" textRotation="90"/>
    </xf>
    <xf numFmtId="0" fontId="53" fillId="7" borderId="11" xfId="0" applyFont="1" applyFill="1" applyBorder="1" applyAlignment="1">
      <alignment horizontal="center" vertical="center" textRotation="90"/>
    </xf>
    <xf numFmtId="0" fontId="53" fillId="7" borderId="12" xfId="0" applyFont="1" applyFill="1" applyBorder="1" applyAlignment="1">
      <alignment horizontal="center" vertical="center" textRotation="90"/>
    </xf>
    <xf numFmtId="0" fontId="53" fillId="7" borderId="8" xfId="0" applyFont="1" applyFill="1" applyBorder="1" applyAlignment="1">
      <alignment horizontal="center" vertical="center" textRotation="90"/>
    </xf>
    <xf numFmtId="0" fontId="53" fillId="7" borderId="9" xfId="0" applyFont="1" applyFill="1" applyBorder="1" applyAlignment="1">
      <alignment horizontal="center" vertical="center" textRotation="90"/>
    </xf>
    <xf numFmtId="0" fontId="9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7" xfId="0" applyFont="1" applyBorder="1" applyAlignment="1">
      <alignment horizontal="center" vertical="top"/>
    </xf>
    <xf numFmtId="0" fontId="11" fillId="0" borderId="11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11" fillId="0" borderId="12" xfId="0" applyFont="1" applyBorder="1" applyAlignment="1">
      <alignment horizontal="center" vertical="top"/>
    </xf>
    <xf numFmtId="0" fontId="12" fillId="0" borderId="1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10" fontId="12" fillId="0" borderId="1" xfId="0" applyNumberFormat="1" applyFont="1" applyBorder="1" applyAlignment="1">
      <alignment horizontal="left" vertical="center" wrapText="1"/>
    </xf>
    <xf numFmtId="0" fontId="12" fillId="2" borderId="58" xfId="0" applyFont="1" applyFill="1" applyBorder="1" applyAlignment="1">
      <alignment horizontal="center" vertical="center"/>
    </xf>
    <xf numFmtId="0" fontId="12" fillId="2" borderId="57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10" fontId="0" fillId="0" borderId="3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5" fontId="4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0" fontId="40" fillId="0" borderId="3" xfId="0" applyNumberFormat="1" applyFont="1" applyBorder="1" applyAlignment="1">
      <alignment horizontal="center"/>
    </xf>
    <xf numFmtId="0" fontId="16" fillId="4" borderId="6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 wrapText="1"/>
    </xf>
    <xf numFmtId="4" fontId="12" fillId="2" borderId="13" xfId="3" applyNumberFormat="1" applyFont="1" applyFill="1" applyBorder="1" applyAlignment="1" applyProtection="1">
      <alignment horizontal="right" vertical="center" wrapText="1"/>
    </xf>
    <xf numFmtId="2" fontId="12" fillId="2" borderId="10" xfId="0" applyNumberFormat="1" applyFont="1" applyFill="1" applyBorder="1" applyAlignment="1">
      <alignment horizontal="right" vertical="center" wrapText="1"/>
    </xf>
    <xf numFmtId="4" fontId="12" fillId="2" borderId="6" xfId="8" applyNumberFormat="1" applyFont="1" applyFill="1" applyBorder="1" applyAlignment="1" applyProtection="1">
      <alignment horizontal="center" vertical="center"/>
    </xf>
    <xf numFmtId="4" fontId="12" fillId="2" borderId="10" xfId="8" applyNumberFormat="1" applyFont="1" applyFill="1" applyBorder="1" applyAlignment="1" applyProtection="1">
      <alignment horizontal="center" vertical="center"/>
    </xf>
    <xf numFmtId="4" fontId="12" fillId="2" borderId="7" xfId="8" applyNumberFormat="1" applyFont="1" applyFill="1" applyBorder="1" applyAlignment="1" applyProtection="1">
      <alignment horizontal="center" vertical="center"/>
    </xf>
    <xf numFmtId="0" fontId="12" fillId="2" borderId="0" xfId="0" applyFont="1" applyFill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1" fillId="0" borderId="1" xfId="17" applyFont="1" applyBorder="1" applyAlignment="1">
      <alignment horizontal="right" vertical="center" wrapText="1"/>
    </xf>
    <xf numFmtId="0" fontId="11" fillId="0" borderId="4" xfId="17" applyFont="1" applyBorder="1" applyAlignment="1">
      <alignment horizontal="right" vertical="center" wrapText="1"/>
    </xf>
    <xf numFmtId="0" fontId="11" fillId="0" borderId="2" xfId="17" applyFont="1" applyBorder="1" applyAlignment="1">
      <alignment horizontal="right" vertical="center" wrapText="1"/>
    </xf>
    <xf numFmtId="2" fontId="7" fillId="3" borderId="1" xfId="17" applyNumberFormat="1" applyFont="1" applyFill="1" applyBorder="1" applyAlignment="1">
      <alignment horizontal="center" vertical="center" wrapText="1"/>
    </xf>
    <xf numFmtId="2" fontId="7" fillId="3" borderId="2" xfId="17" applyNumberFormat="1" applyFont="1" applyFill="1" applyBorder="1" applyAlignment="1">
      <alignment horizontal="center" vertical="center" wrapText="1"/>
    </xf>
    <xf numFmtId="0" fontId="7" fillId="5" borderId="3" xfId="17" applyFont="1" applyFill="1" applyBorder="1" applyAlignment="1">
      <alignment horizontal="left" vertical="center" wrapText="1"/>
    </xf>
    <xf numFmtId="0" fontId="7" fillId="0" borderId="1" xfId="17" applyFont="1" applyBorder="1" applyAlignment="1">
      <alignment horizontal="center" vertical="center"/>
    </xf>
    <xf numFmtId="0" fontId="7" fillId="0" borderId="4" xfId="17" applyFont="1" applyBorder="1" applyAlignment="1">
      <alignment horizontal="center" vertical="center"/>
    </xf>
    <xf numFmtId="0" fontId="7" fillId="0" borderId="2" xfId="17" applyFont="1" applyBorder="1" applyAlignment="1">
      <alignment horizontal="center" vertical="center"/>
    </xf>
    <xf numFmtId="0" fontId="7" fillId="0" borderId="3" xfId="17" applyFont="1" applyBorder="1" applyAlignment="1">
      <alignment horizontal="center" vertical="center" wrapText="1"/>
    </xf>
    <xf numFmtId="0" fontId="9" fillId="0" borderId="1" xfId="17" applyFont="1" applyBorder="1" applyAlignment="1">
      <alignment horizontal="center" vertical="center"/>
    </xf>
    <xf numFmtId="0" fontId="9" fillId="0" borderId="4" xfId="17" applyFont="1" applyBorder="1" applyAlignment="1">
      <alignment horizontal="center" vertical="center"/>
    </xf>
    <xf numFmtId="0" fontId="9" fillId="0" borderId="2" xfId="17" applyFont="1" applyBorder="1" applyAlignment="1">
      <alignment horizontal="center" vertical="center"/>
    </xf>
    <xf numFmtId="2" fontId="9" fillId="3" borderId="1" xfId="17" applyNumberFormat="1" applyFont="1" applyFill="1" applyBorder="1" applyAlignment="1">
      <alignment horizontal="center" vertical="center"/>
    </xf>
    <xf numFmtId="2" fontId="9" fillId="3" borderId="2" xfId="17" applyNumberFormat="1" applyFont="1" applyFill="1" applyBorder="1" applyAlignment="1">
      <alignment horizontal="center" vertical="center"/>
    </xf>
    <xf numFmtId="0" fontId="37" fillId="0" borderId="1" xfId="17" applyFont="1" applyBorder="1" applyAlignment="1">
      <alignment horizontal="center" vertical="center"/>
    </xf>
    <xf numFmtId="0" fontId="37" fillId="0" borderId="4" xfId="17" applyFont="1" applyBorder="1" applyAlignment="1">
      <alignment horizontal="center" vertical="center"/>
    </xf>
    <xf numFmtId="0" fontId="37" fillId="0" borderId="2" xfId="17" applyFont="1" applyBorder="1" applyAlignment="1">
      <alignment horizontal="center" vertical="center"/>
    </xf>
    <xf numFmtId="0" fontId="19" fillId="0" borderId="1" xfId="17" applyFont="1" applyBorder="1" applyAlignment="1">
      <alignment horizontal="right" vertical="center"/>
    </xf>
    <xf numFmtId="0" fontId="19" fillId="0" borderId="4" xfId="17" applyFont="1" applyBorder="1" applyAlignment="1">
      <alignment horizontal="right" vertical="center"/>
    </xf>
    <xf numFmtId="0" fontId="19" fillId="0" borderId="2" xfId="17" applyFont="1" applyBorder="1" applyAlignment="1">
      <alignment horizontal="right" vertical="center"/>
    </xf>
    <xf numFmtId="49" fontId="7" fillId="0" borderId="1" xfId="17" applyNumberFormat="1" applyFont="1" applyBorder="1" applyAlignment="1">
      <alignment horizontal="right" vertical="center" wrapText="1"/>
    </xf>
    <xf numFmtId="49" fontId="7" fillId="0" borderId="4" xfId="17" applyNumberFormat="1" applyFont="1" applyBorder="1" applyAlignment="1">
      <alignment horizontal="right" vertical="center" wrapText="1"/>
    </xf>
    <xf numFmtId="2" fontId="19" fillId="3" borderId="1" xfId="17" applyNumberFormat="1" applyFont="1" applyFill="1" applyBorder="1" applyAlignment="1">
      <alignment horizontal="center" vertical="center" wrapText="1"/>
    </xf>
    <xf numFmtId="2" fontId="19" fillId="3" borderId="2" xfId="17" applyNumberFormat="1" applyFont="1" applyFill="1" applyBorder="1" applyAlignment="1">
      <alignment horizontal="center" vertical="center" wrapText="1"/>
    </xf>
    <xf numFmtId="0" fontId="19" fillId="8" borderId="4" xfId="17" applyFont="1" applyFill="1" applyBorder="1" applyAlignment="1">
      <alignment horizontal="left" vertical="center" wrapText="1"/>
    </xf>
    <xf numFmtId="0" fontId="37" fillId="0" borderId="1" xfId="17" applyFont="1" applyBorder="1" applyAlignment="1">
      <alignment horizontal="right" vertical="center" wrapText="1"/>
    </xf>
    <xf numFmtId="0" fontId="37" fillId="0" borderId="4" xfId="17" applyFont="1" applyBorder="1" applyAlignment="1">
      <alignment horizontal="right" vertical="center" wrapText="1"/>
    </xf>
    <xf numFmtId="0" fontId="37" fillId="0" borderId="2" xfId="17" applyFont="1" applyBorder="1" applyAlignment="1">
      <alignment horizontal="right" vertical="center" wrapText="1"/>
    </xf>
    <xf numFmtId="2" fontId="25" fillId="3" borderId="1" xfId="17" applyNumberFormat="1" applyFont="1" applyFill="1" applyBorder="1" applyAlignment="1">
      <alignment horizontal="center" vertical="center"/>
    </xf>
    <xf numFmtId="2" fontId="25" fillId="3" borderId="2" xfId="17" applyNumberFormat="1" applyFont="1" applyFill="1" applyBorder="1" applyAlignment="1">
      <alignment horizontal="center" vertical="center"/>
    </xf>
    <xf numFmtId="0" fontId="25" fillId="0" borderId="1" xfId="17" applyFont="1" applyBorder="1" applyAlignment="1">
      <alignment horizontal="center" vertical="center"/>
    </xf>
    <xf numFmtId="0" fontId="25" fillId="0" borderId="4" xfId="17" applyFont="1" applyBorder="1" applyAlignment="1">
      <alignment horizontal="center" vertical="center"/>
    </xf>
    <xf numFmtId="0" fontId="25" fillId="0" borderId="2" xfId="17" applyFont="1" applyBorder="1" applyAlignment="1">
      <alignment horizontal="center" vertical="center"/>
    </xf>
    <xf numFmtId="0" fontId="19" fillId="5" borderId="1" xfId="17" applyFont="1" applyFill="1" applyBorder="1" applyAlignment="1">
      <alignment horizontal="left" vertical="center" wrapText="1"/>
    </xf>
    <xf numFmtId="0" fontId="19" fillId="5" borderId="4" xfId="17" applyFont="1" applyFill="1" applyBorder="1" applyAlignment="1">
      <alignment horizontal="left" vertical="center" wrapText="1"/>
    </xf>
    <xf numFmtId="0" fontId="19" fillId="5" borderId="2" xfId="17" applyFont="1" applyFill="1" applyBorder="1" applyAlignment="1">
      <alignment horizontal="left" vertical="center" wrapText="1"/>
    </xf>
    <xf numFmtId="0" fontId="19" fillId="0" borderId="1" xfId="17" applyFont="1" applyBorder="1" applyAlignment="1">
      <alignment horizontal="center" vertical="center"/>
    </xf>
    <xf numFmtId="0" fontId="19" fillId="0" borderId="4" xfId="17" applyFont="1" applyBorder="1" applyAlignment="1">
      <alignment horizontal="center" vertical="center"/>
    </xf>
    <xf numFmtId="0" fontId="19" fillId="0" borderId="2" xfId="17" applyFont="1" applyBorder="1" applyAlignment="1">
      <alignment horizontal="center" vertical="center"/>
    </xf>
    <xf numFmtId="0" fontId="19" fillId="0" borderId="3" xfId="17" applyFont="1" applyBorder="1" applyAlignment="1">
      <alignment horizontal="center" vertical="center" wrapText="1"/>
    </xf>
    <xf numFmtId="0" fontId="7" fillId="0" borderId="3" xfId="17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/>
    </xf>
    <xf numFmtId="0" fontId="7" fillId="0" borderId="1" xfId="17" applyFont="1" applyBorder="1" applyAlignment="1">
      <alignment horizontal="right" vertical="center" wrapText="1"/>
    </xf>
    <xf numFmtId="0" fontId="7" fillId="0" borderId="4" xfId="17" applyFont="1" applyBorder="1" applyAlignment="1">
      <alignment horizontal="right" vertical="center" wrapText="1"/>
    </xf>
    <xf numFmtId="0" fontId="7" fillId="0" borderId="2" xfId="17" applyFont="1" applyBorder="1" applyAlignment="1">
      <alignment horizontal="right" vertical="center" wrapText="1"/>
    </xf>
    <xf numFmtId="0" fontId="7" fillId="0" borderId="8" xfId="17" applyFont="1" applyBorder="1" applyAlignment="1">
      <alignment horizontal="right" vertical="center" wrapText="1"/>
    </xf>
    <xf numFmtId="0" fontId="7" fillId="0" borderId="13" xfId="17" applyFont="1" applyBorder="1" applyAlignment="1">
      <alignment horizontal="right" vertical="center" wrapText="1"/>
    </xf>
    <xf numFmtId="0" fontId="7" fillId="0" borderId="5" xfId="17" applyFont="1" applyBorder="1" applyAlignment="1">
      <alignment horizontal="center" vertical="center"/>
    </xf>
    <xf numFmtId="0" fontId="7" fillId="0" borderId="9" xfId="17" applyFont="1" applyBorder="1" applyAlignment="1">
      <alignment horizontal="right" vertical="center" wrapText="1"/>
    </xf>
    <xf numFmtId="2" fontId="9" fillId="10" borderId="3" xfId="17" applyNumberFormat="1" applyFont="1" applyFill="1" applyBorder="1" applyAlignment="1">
      <alignment horizontal="center" vertical="center"/>
    </xf>
    <xf numFmtId="0" fontId="7" fillId="0" borderId="6" xfId="17" applyFont="1" applyBorder="1" applyAlignment="1">
      <alignment horizontal="center" vertical="center"/>
    </xf>
    <xf numFmtId="0" fontId="7" fillId="0" borderId="10" xfId="17" applyFont="1" applyBorder="1" applyAlignment="1">
      <alignment horizontal="center" vertical="center"/>
    </xf>
    <xf numFmtId="0" fontId="7" fillId="0" borderId="7" xfId="17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5" fillId="0" borderId="1" xfId="0" applyFont="1" applyBorder="1" applyAlignment="1">
      <alignment horizontal="right" vertical="center"/>
    </xf>
    <xf numFmtId="0" fontId="25" fillId="0" borderId="2" xfId="0" applyFont="1" applyBorder="1" applyAlignment="1">
      <alignment horizontal="right" vertical="center"/>
    </xf>
    <xf numFmtId="2" fontId="25" fillId="3" borderId="1" xfId="0" applyNumberFormat="1" applyFont="1" applyFill="1" applyBorder="1" applyAlignment="1">
      <alignment horizontal="center" vertical="center"/>
    </xf>
    <xf numFmtId="2" fontId="25" fillId="3" borderId="2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right" vertical="center" wrapText="1"/>
    </xf>
    <xf numFmtId="0" fontId="37" fillId="0" borderId="4" xfId="0" applyFont="1" applyBorder="1" applyAlignment="1">
      <alignment horizontal="right" vertical="center" wrapText="1"/>
    </xf>
    <xf numFmtId="0" fontId="37" fillId="0" borderId="2" xfId="0" applyFont="1" applyBorder="1" applyAlignment="1">
      <alignment horizontal="right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2" fontId="19" fillId="3" borderId="2" xfId="0" applyNumberFormat="1" applyFont="1" applyFill="1" applyBorder="1" applyAlignment="1">
      <alignment horizontal="center" vertical="center" wrapText="1"/>
    </xf>
    <xf numFmtId="2" fontId="25" fillId="3" borderId="3" xfId="17" applyNumberFormat="1" applyFont="1" applyFill="1" applyBorder="1" applyAlignment="1">
      <alignment horizontal="center" vertical="center"/>
    </xf>
    <xf numFmtId="0" fontId="25" fillId="3" borderId="3" xfId="17" applyFont="1" applyFill="1" applyBorder="1" applyAlignment="1">
      <alignment horizontal="center" vertical="center"/>
    </xf>
    <xf numFmtId="0" fontId="19" fillId="5" borderId="3" xfId="17" applyFont="1" applyFill="1" applyBorder="1" applyAlignment="1">
      <alignment horizontal="left" vertical="center" wrapText="1"/>
    </xf>
    <xf numFmtId="0" fontId="37" fillId="0" borderId="1" xfId="17" applyFont="1" applyBorder="1" applyAlignment="1">
      <alignment horizontal="left" vertical="center" wrapText="1"/>
    </xf>
    <xf numFmtId="0" fontId="37" fillId="0" borderId="4" xfId="17" applyFont="1" applyBorder="1" applyAlignment="1">
      <alignment horizontal="left" vertical="center" wrapText="1"/>
    </xf>
    <xf numFmtId="0" fontId="37" fillId="0" borderId="2" xfId="17" applyFont="1" applyBorder="1" applyAlignment="1">
      <alignment horizontal="left" vertical="center" wrapText="1"/>
    </xf>
    <xf numFmtId="0" fontId="9" fillId="0" borderId="4" xfId="17" applyFont="1" applyBorder="1" applyAlignment="1">
      <alignment horizontal="left" vertical="center" wrapText="1"/>
    </xf>
    <xf numFmtId="0" fontId="9" fillId="0" borderId="2" xfId="17" applyFont="1" applyBorder="1" applyAlignment="1">
      <alignment horizontal="left" vertical="center" wrapText="1"/>
    </xf>
    <xf numFmtId="0" fontId="15" fillId="0" borderId="1" xfId="17" applyFont="1" applyBorder="1" applyAlignment="1">
      <alignment horizontal="left" vertical="center" wrapText="1"/>
    </xf>
    <xf numFmtId="0" fontId="15" fillId="0" borderId="4" xfId="17" applyFont="1" applyBorder="1" applyAlignment="1">
      <alignment horizontal="left" vertical="center" wrapText="1"/>
    </xf>
    <xf numFmtId="0" fontId="15" fillId="0" borderId="2" xfId="17" applyFont="1" applyBorder="1" applyAlignment="1">
      <alignment horizontal="left" vertical="center" wrapText="1"/>
    </xf>
    <xf numFmtId="0" fontId="9" fillId="0" borderId="1" xfId="17" applyFont="1" applyBorder="1" applyAlignment="1">
      <alignment horizontal="left" vertical="center" wrapText="1"/>
    </xf>
    <xf numFmtId="0" fontId="17" fillId="4" borderId="48" xfId="17" applyFont="1" applyFill="1" applyBorder="1" applyAlignment="1">
      <alignment horizontal="center" vertical="center" wrapText="1"/>
    </xf>
    <xf numFmtId="0" fontId="17" fillId="4" borderId="3" xfId="17" applyFont="1" applyFill="1" applyBorder="1" applyAlignment="1">
      <alignment horizontal="center" vertical="center" wrapText="1"/>
    </xf>
    <xf numFmtId="49" fontId="12" fillId="0" borderId="3" xfId="17" applyNumberFormat="1" applyFont="1" applyBorder="1" applyAlignment="1">
      <alignment horizontal="left" vertical="center"/>
    </xf>
    <xf numFmtId="0" fontId="12" fillId="0" borderId="3" xfId="17" applyFont="1" applyBorder="1" applyAlignment="1">
      <alignment horizontal="left" vertical="center"/>
    </xf>
    <xf numFmtId="0" fontId="11" fillId="0" borderId="11" xfId="17" applyFont="1" applyBorder="1" applyAlignment="1">
      <alignment horizontal="center" vertical="center" wrapText="1"/>
    </xf>
    <xf numFmtId="0" fontId="11" fillId="0" borderId="12" xfId="17" applyFont="1" applyBorder="1" applyAlignment="1">
      <alignment horizontal="center" vertical="center" wrapText="1"/>
    </xf>
    <xf numFmtId="0" fontId="12" fillId="0" borderId="6" xfId="17" applyFont="1" applyBorder="1" applyAlignment="1">
      <alignment horizontal="left" vertical="center"/>
    </xf>
    <xf numFmtId="0" fontId="12" fillId="0" borderId="10" xfId="17" applyFont="1" applyBorder="1" applyAlignment="1">
      <alignment horizontal="left" vertical="center"/>
    </xf>
    <xf numFmtId="0" fontId="12" fillId="0" borderId="7" xfId="17" applyFont="1" applyBorder="1" applyAlignment="1">
      <alignment horizontal="left" vertical="center"/>
    </xf>
    <xf numFmtId="0" fontId="19" fillId="7" borderId="1" xfId="17" applyFont="1" applyFill="1" applyBorder="1" applyAlignment="1">
      <alignment horizontal="center" vertical="center" wrapText="1"/>
    </xf>
    <xf numFmtId="0" fontId="19" fillId="7" borderId="4" xfId="17" applyFont="1" applyFill="1" applyBorder="1" applyAlignment="1">
      <alignment horizontal="center" vertical="center" wrapText="1"/>
    </xf>
    <xf numFmtId="0" fontId="19" fillId="7" borderId="2" xfId="17" applyFont="1" applyFill="1" applyBorder="1" applyAlignment="1">
      <alignment horizontal="center" vertical="center" wrapText="1"/>
    </xf>
    <xf numFmtId="0" fontId="19" fillId="0" borderId="48" xfId="17" applyFont="1" applyBorder="1" applyAlignment="1">
      <alignment horizontal="center" vertical="center"/>
    </xf>
    <xf numFmtId="0" fontId="37" fillId="0" borderId="1" xfId="17" applyFont="1" applyBorder="1" applyAlignment="1">
      <alignment horizontal="center" vertical="center" wrapText="1"/>
    </xf>
    <xf numFmtId="0" fontId="37" fillId="0" borderId="4" xfId="17" applyFont="1" applyBorder="1" applyAlignment="1">
      <alignment horizontal="center" vertical="center" wrapText="1"/>
    </xf>
    <xf numFmtId="0" fontId="37" fillId="0" borderId="2" xfId="17" applyFont="1" applyBorder="1" applyAlignment="1">
      <alignment horizontal="center" vertical="center" wrapText="1"/>
    </xf>
    <xf numFmtId="0" fontId="7" fillId="0" borderId="1" xfId="17" applyFont="1" applyBorder="1" applyAlignment="1">
      <alignment horizontal="right" vertical="center"/>
    </xf>
    <xf numFmtId="0" fontId="7" fillId="0" borderId="4" xfId="17" applyFont="1" applyBorder="1" applyAlignment="1">
      <alignment horizontal="right" vertical="center"/>
    </xf>
    <xf numFmtId="0" fontId="7" fillId="0" borderId="2" xfId="17" applyFont="1" applyBorder="1" applyAlignment="1">
      <alignment horizontal="right" vertical="center"/>
    </xf>
    <xf numFmtId="0" fontId="19" fillId="5" borderId="6" xfId="17" applyFont="1" applyFill="1" applyBorder="1" applyAlignment="1">
      <alignment horizontal="left" vertical="center" wrapText="1"/>
    </xf>
    <xf numFmtId="0" fontId="19" fillId="5" borderId="10" xfId="17" applyFont="1" applyFill="1" applyBorder="1" applyAlignment="1">
      <alignment horizontal="left" vertical="center" wrapText="1"/>
    </xf>
    <xf numFmtId="0" fontId="19" fillId="5" borderId="7" xfId="17" applyFont="1" applyFill="1" applyBorder="1" applyAlignment="1">
      <alignment horizontal="left" vertical="center" wrapText="1"/>
    </xf>
    <xf numFmtId="49" fontId="7" fillId="0" borderId="2" xfId="17" applyNumberFormat="1" applyFont="1" applyBorder="1" applyAlignment="1">
      <alignment horizontal="right" vertical="center" wrapText="1"/>
    </xf>
    <xf numFmtId="0" fontId="38" fillId="11" borderId="6" xfId="0" applyFont="1" applyFill="1" applyBorder="1" applyAlignment="1">
      <alignment horizontal="center" vertical="center"/>
    </xf>
    <xf numFmtId="0" fontId="38" fillId="11" borderId="10" xfId="0" applyFont="1" applyFill="1" applyBorder="1" applyAlignment="1">
      <alignment horizontal="center" vertical="center"/>
    </xf>
    <xf numFmtId="0" fontId="38" fillId="11" borderId="7" xfId="0" applyFont="1" applyFill="1" applyBorder="1" applyAlignment="1">
      <alignment horizontal="center" vertical="center"/>
    </xf>
    <xf numFmtId="0" fontId="38" fillId="11" borderId="11" xfId="0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8" fillId="11" borderId="12" xfId="0" applyFont="1" applyFill="1" applyBorder="1" applyAlignment="1">
      <alignment horizontal="center" vertical="center"/>
    </xf>
    <xf numFmtId="0" fontId="38" fillId="11" borderId="8" xfId="0" applyFont="1" applyFill="1" applyBorder="1" applyAlignment="1">
      <alignment horizontal="center" vertical="center"/>
    </xf>
    <xf numFmtId="0" fontId="38" fillId="11" borderId="13" xfId="0" applyFont="1" applyFill="1" applyBorder="1" applyAlignment="1">
      <alignment horizontal="center" vertical="center"/>
    </xf>
    <xf numFmtId="0" fontId="38" fillId="11" borderId="9" xfId="0" applyFont="1" applyFill="1" applyBorder="1" applyAlignment="1">
      <alignment horizontal="center" vertical="center"/>
    </xf>
    <xf numFmtId="0" fontId="20" fillId="0" borderId="46" xfId="14" applyFont="1" applyBorder="1" applyAlignment="1">
      <alignment horizontal="left" vertical="center"/>
    </xf>
    <xf numFmtId="44" fontId="10" fillId="0" borderId="46" xfId="16" applyFont="1" applyFill="1" applyBorder="1" applyAlignment="1">
      <alignment horizontal="center"/>
    </xf>
    <xf numFmtId="0" fontId="20" fillId="0" borderId="43" xfId="14" applyFont="1" applyBorder="1" applyAlignment="1">
      <alignment horizontal="left" vertical="center"/>
    </xf>
    <xf numFmtId="44" fontId="10" fillId="0" borderId="43" xfId="16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 wrapText="1"/>
    </xf>
    <xf numFmtId="0" fontId="12" fillId="5" borderId="3" xfId="14" applyFont="1" applyFill="1" applyBorder="1" applyAlignment="1">
      <alignment horizontal="center"/>
    </xf>
    <xf numFmtId="44" fontId="10" fillId="0" borderId="45" xfId="16" applyFont="1" applyFill="1" applyBorder="1" applyAlignment="1">
      <alignment horizontal="center"/>
    </xf>
    <xf numFmtId="0" fontId="20" fillId="0" borderId="49" xfId="14" applyFont="1" applyBorder="1" applyAlignment="1">
      <alignment horizontal="left" vertical="center"/>
    </xf>
    <xf numFmtId="0" fontId="20" fillId="0" borderId="50" xfId="14" applyFont="1" applyBorder="1" applyAlignment="1">
      <alignment horizontal="left" vertical="center"/>
    </xf>
    <xf numFmtId="0" fontId="20" fillId="0" borderId="45" xfId="14" applyFont="1" applyBorder="1" applyAlignment="1">
      <alignment horizontal="left" vertical="center"/>
    </xf>
    <xf numFmtId="0" fontId="20" fillId="0" borderId="51" xfId="14" applyFont="1" applyBorder="1" applyAlignment="1">
      <alignment horizontal="left" vertical="center"/>
    </xf>
    <xf numFmtId="0" fontId="20" fillId="0" borderId="52" xfId="14" applyFont="1" applyBorder="1" applyAlignment="1">
      <alignment horizontal="left" vertical="center"/>
    </xf>
    <xf numFmtId="44" fontId="10" fillId="0" borderId="45" xfId="36" applyFont="1" applyFill="1" applyBorder="1" applyAlignment="1">
      <alignment horizontal="center"/>
    </xf>
    <xf numFmtId="44" fontId="10" fillId="0" borderId="43" xfId="36" applyFont="1" applyFill="1" applyBorder="1" applyAlignment="1">
      <alignment horizontal="center"/>
    </xf>
    <xf numFmtId="44" fontId="10" fillId="0" borderId="46" xfId="36" applyFont="1" applyFill="1" applyBorder="1" applyAlignment="1">
      <alignment horizontal="center"/>
    </xf>
    <xf numFmtId="0" fontId="20" fillId="0" borderId="55" xfId="14" applyFont="1" applyBorder="1" applyAlignment="1">
      <alignment horizontal="left" vertical="center"/>
    </xf>
    <xf numFmtId="0" fontId="20" fillId="0" borderId="56" xfId="14" applyFont="1" applyBorder="1" applyAlignment="1">
      <alignment horizontal="left" vertical="center"/>
    </xf>
    <xf numFmtId="0" fontId="17" fillId="4" borderId="2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49" fontId="10" fillId="0" borderId="1" xfId="14" applyNumberFormat="1" applyFont="1" applyBorder="1" applyAlignment="1">
      <alignment horizontal="center"/>
    </xf>
    <xf numFmtId="49" fontId="10" fillId="0" borderId="4" xfId="14" applyNumberFormat="1" applyFont="1" applyBorder="1" applyAlignment="1">
      <alignment horizontal="center"/>
    </xf>
    <xf numFmtId="49" fontId="10" fillId="0" borderId="2" xfId="14" applyNumberFormat="1" applyFont="1" applyBorder="1" applyAlignment="1">
      <alignment horizontal="center"/>
    </xf>
    <xf numFmtId="0" fontId="25" fillId="2" borderId="3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top" wrapText="1"/>
    </xf>
    <xf numFmtId="0" fontId="21" fillId="0" borderId="7" xfId="0" applyFont="1" applyBorder="1" applyAlignment="1">
      <alignment horizontal="center" vertical="top" wrapText="1"/>
    </xf>
    <xf numFmtId="0" fontId="21" fillId="0" borderId="0" xfId="0" applyFont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1" fillId="0" borderId="13" xfId="0" applyFont="1" applyBorder="1" applyAlignment="1">
      <alignment horizontal="center" wrapText="1"/>
    </xf>
    <xf numFmtId="0" fontId="21" fillId="0" borderId="9" xfId="0" applyFont="1" applyBorder="1" applyAlignment="1">
      <alignment horizont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59" xfId="0" applyFont="1" applyBorder="1" applyAlignment="1">
      <alignment horizontal="left" vertical="center" wrapText="1"/>
    </xf>
    <xf numFmtId="0" fontId="7" fillId="0" borderId="60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4" borderId="11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44" fontId="10" fillId="0" borderId="76" xfId="43" applyFont="1" applyFill="1" applyBorder="1" applyAlignment="1">
      <alignment horizontal="center"/>
    </xf>
    <xf numFmtId="44" fontId="10" fillId="0" borderId="78" xfId="43" applyFont="1" applyFill="1" applyBorder="1" applyAlignment="1">
      <alignment horizontal="center"/>
    </xf>
    <xf numFmtId="0" fontId="10" fillId="0" borderId="76" xfId="14" applyFont="1" applyBorder="1" applyAlignment="1">
      <alignment horizontal="left" vertical="center"/>
    </xf>
    <xf numFmtId="0" fontId="10" fillId="0" borderId="77" xfId="14" applyFont="1" applyBorder="1" applyAlignment="1">
      <alignment horizontal="left" vertical="center"/>
    </xf>
    <xf numFmtId="0" fontId="12" fillId="2" borderId="6" xfId="0" applyFont="1" applyFill="1" applyBorder="1" applyAlignment="1">
      <alignment horizontal="center" vertical="top"/>
    </xf>
    <xf numFmtId="0" fontId="12" fillId="2" borderId="7" xfId="0" applyFont="1" applyFill="1" applyBorder="1" applyAlignment="1">
      <alignment horizontal="center" vertical="top"/>
    </xf>
    <xf numFmtId="0" fontId="10" fillId="0" borderId="51" xfId="14" applyFont="1" applyBorder="1" applyAlignment="1">
      <alignment horizontal="left" vertical="center"/>
    </xf>
    <xf numFmtId="0" fontId="10" fillId="0" borderId="52" xfId="14" applyFont="1" applyBorder="1" applyAlignment="1">
      <alignment horizontal="left" vertical="center"/>
    </xf>
    <xf numFmtId="44" fontId="10" fillId="0" borderId="51" xfId="43" applyFont="1" applyFill="1" applyBorder="1" applyAlignment="1">
      <alignment horizontal="center"/>
    </xf>
    <xf numFmtId="44" fontId="10" fillId="0" borderId="74" xfId="43" applyFont="1" applyFill="1" applyBorder="1" applyAlignment="1">
      <alignment horizontal="center"/>
    </xf>
    <xf numFmtId="44" fontId="10" fillId="0" borderId="55" xfId="43" applyFont="1" applyFill="1" applyBorder="1" applyAlignment="1">
      <alignment horizontal="center"/>
    </xf>
    <xf numFmtId="44" fontId="10" fillId="0" borderId="73" xfId="43" applyFont="1" applyFill="1" applyBorder="1" applyAlignment="1">
      <alignment horizontal="center"/>
    </xf>
    <xf numFmtId="0" fontId="10" fillId="0" borderId="55" xfId="14" applyFont="1" applyBorder="1" applyAlignment="1">
      <alignment horizontal="left" vertical="center"/>
    </xf>
    <xf numFmtId="0" fontId="10" fillId="0" borderId="56" xfId="14" applyFont="1" applyBorder="1" applyAlignment="1">
      <alignment horizontal="left" vertical="center"/>
    </xf>
    <xf numFmtId="0" fontId="12" fillId="5" borderId="1" xfId="14" applyFont="1" applyFill="1" applyBorder="1" applyAlignment="1">
      <alignment horizontal="center"/>
    </xf>
    <xf numFmtId="0" fontId="12" fillId="5" borderId="72" xfId="14" applyFont="1" applyFill="1" applyBorder="1" applyAlignment="1">
      <alignment horizontal="center"/>
    </xf>
    <xf numFmtId="0" fontId="12" fillId="5" borderId="1" xfId="14" applyFont="1" applyFill="1" applyBorder="1" applyAlignment="1">
      <alignment horizontal="center" vertical="center" wrapText="1"/>
    </xf>
    <xf numFmtId="0" fontId="12" fillId="5" borderId="2" xfId="14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right" vertical="center"/>
    </xf>
    <xf numFmtId="0" fontId="18" fillId="2" borderId="2" xfId="0" applyFont="1" applyFill="1" applyBorder="1" applyAlignment="1">
      <alignment horizontal="right" vertical="center"/>
    </xf>
    <xf numFmtId="0" fontId="19" fillId="5" borderId="25" xfId="0" applyFont="1" applyFill="1" applyBorder="1" applyAlignment="1">
      <alignment horizontal="center" vertical="center"/>
    </xf>
    <xf numFmtId="0" fontId="19" fillId="5" borderId="26" xfId="0" applyFont="1" applyFill="1" applyBorder="1" applyAlignment="1">
      <alignment horizontal="center" vertical="center"/>
    </xf>
    <xf numFmtId="0" fontId="19" fillId="5" borderId="30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34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8" fillId="2" borderId="20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165" fontId="18" fillId="2" borderId="17" xfId="0" applyNumberFormat="1" applyFont="1" applyFill="1" applyBorder="1" applyAlignment="1">
      <alignment horizontal="center" vertical="center" wrapText="1"/>
    </xf>
    <xf numFmtId="165" fontId="18" fillId="2" borderId="14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right" vertical="center"/>
    </xf>
    <xf numFmtId="0" fontId="19" fillId="2" borderId="7" xfId="0" applyFont="1" applyFill="1" applyBorder="1" applyAlignment="1">
      <alignment horizontal="right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165" fontId="19" fillId="2" borderId="17" xfId="0" applyNumberFormat="1" applyFont="1" applyFill="1" applyBorder="1" applyAlignment="1">
      <alignment horizontal="center" vertical="center" wrapText="1"/>
    </xf>
    <xf numFmtId="165" fontId="19" fillId="2" borderId="14" xfId="0" applyNumberFormat="1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9" fillId="0" borderId="11" xfId="6" applyFont="1" applyBorder="1" applyAlignment="1">
      <alignment horizontal="left" vertical="center" wrapText="1"/>
    </xf>
    <xf numFmtId="0" fontId="9" fillId="0" borderId="0" xfId="6" applyFont="1" applyAlignment="1">
      <alignment horizontal="left" vertical="center" wrapText="1"/>
    </xf>
    <xf numFmtId="0" fontId="9" fillId="5" borderId="1" xfId="6" applyFont="1" applyFill="1" applyBorder="1" applyAlignment="1">
      <alignment horizontal="center" vertical="center" wrapText="1"/>
    </xf>
    <xf numFmtId="0" fontId="9" fillId="5" borderId="4" xfId="6" applyFont="1" applyFill="1" applyBorder="1" applyAlignment="1">
      <alignment horizontal="center" vertical="center" wrapText="1"/>
    </xf>
    <xf numFmtId="0" fontId="9" fillId="5" borderId="2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center" vertical="center"/>
    </xf>
    <xf numFmtId="0" fontId="7" fillId="0" borderId="13" xfId="6" applyFont="1" applyBorder="1" applyAlignment="1">
      <alignment horizontal="center" vertical="center"/>
    </xf>
    <xf numFmtId="0" fontId="9" fillId="0" borderId="1" xfId="6" applyFont="1" applyBorder="1" applyAlignment="1">
      <alignment horizontal="right"/>
    </xf>
    <xf numFmtId="0" fontId="9" fillId="0" borderId="4" xfId="6" applyFont="1" applyBorder="1" applyAlignment="1">
      <alignment horizontal="right"/>
    </xf>
    <xf numFmtId="0" fontId="9" fillId="0" borderId="2" xfId="6" applyFont="1" applyBorder="1" applyAlignment="1">
      <alignment horizontal="right"/>
    </xf>
    <xf numFmtId="0" fontId="17" fillId="4" borderId="3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49" fontId="12" fillId="0" borderId="4" xfId="0" applyNumberFormat="1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4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2" borderId="1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</cellXfs>
  <cellStyles count="44">
    <cellStyle name="Moeda" xfId="43" builtinId="4"/>
    <cellStyle name="Moeda 2" xfId="11" xr:uid="{00000000-0005-0000-0000-000000000000}"/>
    <cellStyle name="Moeda 2 2" xfId="20" xr:uid="{00000000-0005-0000-0000-000001000000}"/>
    <cellStyle name="Moeda 2 2 2" xfId="32" xr:uid="{00000000-0005-0000-0000-000002000000}"/>
    <cellStyle name="Moeda 2 3" xfId="26" xr:uid="{00000000-0005-0000-0000-000003000000}"/>
    <cellStyle name="Moeda 2 4" xfId="39" xr:uid="{00000000-0005-0000-0000-000004000000}"/>
    <cellStyle name="Moeda 3" xfId="16" xr:uid="{00000000-0005-0000-0000-000005000000}"/>
    <cellStyle name="Moeda 3 2" xfId="23" xr:uid="{00000000-0005-0000-0000-000006000000}"/>
    <cellStyle name="Moeda 3 2 2" xfId="35" xr:uid="{00000000-0005-0000-0000-000007000000}"/>
    <cellStyle name="Moeda 3 2 2 2" xfId="36" xr:uid="{00000000-0005-0000-0000-000008000000}"/>
    <cellStyle name="Moeda 3 3" xfId="29" xr:uid="{00000000-0005-0000-0000-000009000000}"/>
    <cellStyle name="Moeda 3 4" xfId="42" xr:uid="{00000000-0005-0000-0000-00000A000000}"/>
    <cellStyle name="Normal" xfId="0" builtinId="0"/>
    <cellStyle name="Normal 2" xfId="4" xr:uid="{00000000-0005-0000-0000-00000C000000}"/>
    <cellStyle name="Normal 2 2" xfId="5" xr:uid="{00000000-0005-0000-0000-00000D000000}"/>
    <cellStyle name="Normal 2 3" xfId="6" xr:uid="{00000000-0005-0000-0000-00000E000000}"/>
    <cellStyle name="Normal 29 2" xfId="2" xr:uid="{00000000-0005-0000-0000-00000F000000}"/>
    <cellStyle name="Normal 3" xfId="9" xr:uid="{00000000-0005-0000-0000-000010000000}"/>
    <cellStyle name="Normal 4" xfId="14" xr:uid="{00000000-0005-0000-0000-000011000000}"/>
    <cellStyle name="Normal 5" xfId="15" xr:uid="{00000000-0005-0000-0000-000012000000}"/>
    <cellStyle name="Normal 5 2" xfId="17" xr:uid="{00000000-0005-0000-0000-000013000000}"/>
    <cellStyle name="Normal 54" xfId="1" xr:uid="{00000000-0005-0000-0000-000014000000}"/>
    <cellStyle name="Porcentagem" xfId="3" builtinId="5"/>
    <cellStyle name="Vírgula" xfId="8" builtinId="3"/>
    <cellStyle name="Vírgula 2" xfId="7" xr:uid="{00000000-0005-0000-0000-000017000000}"/>
    <cellStyle name="Vírgula 2 2" xfId="12" xr:uid="{00000000-0005-0000-0000-000018000000}"/>
    <cellStyle name="Vírgula 2 2 2" xfId="21" xr:uid="{00000000-0005-0000-0000-000019000000}"/>
    <cellStyle name="Vírgula 2 2 2 2" xfId="33" xr:uid="{00000000-0005-0000-0000-00001A000000}"/>
    <cellStyle name="Vírgula 2 2 3" xfId="27" xr:uid="{00000000-0005-0000-0000-00001B000000}"/>
    <cellStyle name="Vírgula 2 2 4" xfId="40" xr:uid="{00000000-0005-0000-0000-00001C000000}"/>
    <cellStyle name="Vírgula 3" xfId="10" xr:uid="{00000000-0005-0000-0000-00001D000000}"/>
    <cellStyle name="Vírgula 3 2" xfId="19" xr:uid="{00000000-0005-0000-0000-00001E000000}"/>
    <cellStyle name="Vírgula 3 2 2" xfId="31" xr:uid="{00000000-0005-0000-0000-00001F000000}"/>
    <cellStyle name="Vírgula 3 3" xfId="25" xr:uid="{00000000-0005-0000-0000-000020000000}"/>
    <cellStyle name="Vírgula 3 4" xfId="38" xr:uid="{00000000-0005-0000-0000-000021000000}"/>
    <cellStyle name="Vírgula 4" xfId="13" xr:uid="{00000000-0005-0000-0000-000022000000}"/>
    <cellStyle name="Vírgula 4 2" xfId="22" xr:uid="{00000000-0005-0000-0000-000023000000}"/>
    <cellStyle name="Vírgula 4 2 2" xfId="34" xr:uid="{00000000-0005-0000-0000-000024000000}"/>
    <cellStyle name="Vírgula 4 3" xfId="28" xr:uid="{00000000-0005-0000-0000-000025000000}"/>
    <cellStyle name="Vírgula 4 4" xfId="41" xr:uid="{00000000-0005-0000-0000-000026000000}"/>
    <cellStyle name="Vírgula 5" xfId="18" xr:uid="{00000000-0005-0000-0000-000027000000}"/>
    <cellStyle name="Vírgula 5 2" xfId="30" xr:uid="{00000000-0005-0000-0000-000028000000}"/>
    <cellStyle name="Vírgula 6" xfId="24" xr:uid="{00000000-0005-0000-0000-000029000000}"/>
    <cellStyle name="Vírgula 7" xfId="37" xr:uid="{00000000-0005-0000-0000-00002A000000}"/>
  </cellStyles>
  <dxfs count="35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ont>
        <strike/>
        <color theme="0" tint="-0.499984740745262"/>
      </font>
    </dxf>
    <dxf>
      <font>
        <strike val="0"/>
        <outline val="0"/>
        <shadow val="0"/>
        <u val="none"/>
        <vertAlign val="baseline"/>
        <color auto="1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color rgb="FFFF0000"/>
      </font>
      <border diagonalUp="0" diagonalDown="0"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color rgb="FFFF0000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color rgb="FFFF0000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color rgb="FFFF0000"/>
      </font>
    </dxf>
    <dxf>
      <font>
        <strike val="0"/>
        <outline val="0"/>
        <shadow val="0"/>
        <u val="none"/>
        <vertAlign val="baseline"/>
        <color rgb="FFFF0000"/>
      </font>
      <numFmt numFmtId="0" formatCode="General"/>
    </dxf>
    <dxf>
      <font>
        <strike val="0"/>
        <outline val="0"/>
        <shadow val="0"/>
        <u val="none"/>
        <vertAlign val="baseline"/>
        <color rgb="FFFF0000"/>
      </font>
      <numFmt numFmtId="0" formatCode="General"/>
    </dxf>
    <dxf>
      <font>
        <strike val="0"/>
        <outline val="0"/>
        <shadow val="0"/>
        <u val="none"/>
        <vertAlign val="baseline"/>
        <color rgb="FFFF0000"/>
      </font>
    </dxf>
    <dxf>
      <font>
        <strike val="0"/>
        <outline val="0"/>
        <shadow val="0"/>
        <u val="none"/>
        <vertAlign val="baseline"/>
        <color rgb="FFFF0000"/>
      </font>
    </dxf>
    <dxf>
      <font>
        <strike val="0"/>
        <outline val="0"/>
        <shadow val="0"/>
        <u val="none"/>
        <vertAlign val="baseline"/>
        <color rgb="FFFF0000"/>
      </font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strike val="0"/>
        <outline val="0"/>
        <shadow val="0"/>
        <u val="none"/>
        <vertAlign val="baseline"/>
        <color rgb="FFFF0000"/>
      </font>
      <border diagonalUp="0" diagonalDown="0" outline="0">
        <left style="thin">
          <color indexed="64"/>
        </left>
      </border>
    </dxf>
    <dxf>
      <border outline="0"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color rgb="FFFF0000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color auto="1"/>
      </font>
      <numFmt numFmtId="0" formatCode="General"/>
    </dxf>
    <dxf>
      <font>
        <strike val="0"/>
        <outline val="0"/>
        <shadow val="0"/>
        <u val="none"/>
        <vertAlign val="baseline"/>
        <color auto="1"/>
      </font>
      <numFmt numFmtId="0" formatCode="General"/>
    </dxf>
    <dxf>
      <font>
        <strike val="0"/>
        <outline val="0"/>
        <shadow val="0"/>
        <u val="none"/>
        <vertAlign val="baseline"/>
        <color auto="1"/>
      </font>
    </dxf>
    <dxf>
      <border outline="0"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color auto="1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fmlaLink="$A$12" lockText="1" noThreeD="1"/>
</file>

<file path=xl/ctrlProps/ctrlProp10.xml><?xml version="1.0" encoding="utf-8"?>
<formControlPr xmlns="http://schemas.microsoft.com/office/spreadsheetml/2009/9/main" objectType="CheckBox" checked="Checked" fmlaLink="$A$23" lockText="1" noThreeD="1"/>
</file>

<file path=xl/ctrlProps/ctrlProp11.xml><?xml version="1.0" encoding="utf-8"?>
<formControlPr xmlns="http://schemas.microsoft.com/office/spreadsheetml/2009/9/main" objectType="CheckBox" checked="Checked" fmlaLink="$A$24" lockText="1" noThreeD="1"/>
</file>

<file path=xl/ctrlProps/ctrlProp12.xml><?xml version="1.0" encoding="utf-8"?>
<formControlPr xmlns="http://schemas.microsoft.com/office/spreadsheetml/2009/9/main" objectType="CheckBox" checked="Checked" fmlaLink="$A$25" lockText="1" noThreeD="1"/>
</file>

<file path=xl/ctrlProps/ctrlProp13.xml><?xml version="1.0" encoding="utf-8"?>
<formControlPr xmlns="http://schemas.microsoft.com/office/spreadsheetml/2009/9/main" objectType="CheckBox" checked="Checked" fmlaLink="$A$26" lockText="1" noThreeD="1"/>
</file>

<file path=xl/ctrlProps/ctrlProp14.xml><?xml version="1.0" encoding="utf-8"?>
<formControlPr xmlns="http://schemas.microsoft.com/office/spreadsheetml/2009/9/main" objectType="CheckBox" checked="Checked" fmlaLink="$A$27" lockText="1" noThreeD="1"/>
</file>

<file path=xl/ctrlProps/ctrlProp15.xml><?xml version="1.0" encoding="utf-8"?>
<formControlPr xmlns="http://schemas.microsoft.com/office/spreadsheetml/2009/9/main" objectType="CheckBox" checked="Checked" fmlaLink="$A$28" lockText="1" noThreeD="1"/>
</file>

<file path=xl/ctrlProps/ctrlProp16.xml><?xml version="1.0" encoding="utf-8"?>
<formControlPr xmlns="http://schemas.microsoft.com/office/spreadsheetml/2009/9/main" objectType="CheckBox" checked="Checked" fmlaLink="$A$29" lockText="1" noThreeD="1"/>
</file>

<file path=xl/ctrlProps/ctrlProp17.xml><?xml version="1.0" encoding="utf-8"?>
<formControlPr xmlns="http://schemas.microsoft.com/office/spreadsheetml/2009/9/main" objectType="CheckBox" checked="Checked" fmlaLink="$A$30" lockText="1" noThreeD="1"/>
</file>

<file path=xl/ctrlProps/ctrlProp18.xml><?xml version="1.0" encoding="utf-8"?>
<formControlPr xmlns="http://schemas.microsoft.com/office/spreadsheetml/2009/9/main" objectType="CheckBox" fmlaLink="$A$32" lockText="1" noThreeD="1"/>
</file>

<file path=xl/ctrlProps/ctrlProp19.xml><?xml version="1.0" encoding="utf-8"?>
<formControlPr xmlns="http://schemas.microsoft.com/office/spreadsheetml/2009/9/main" objectType="CheckBox" checked="Checked" fmlaLink="$A$16" lockText="1" noThreeD="1"/>
</file>

<file path=xl/ctrlProps/ctrlProp2.xml><?xml version="1.0" encoding="utf-8"?>
<formControlPr xmlns="http://schemas.microsoft.com/office/spreadsheetml/2009/9/main" objectType="CheckBox" checked="Checked" fmlaLink="$A$13" lockText="1" noThreeD="1"/>
</file>

<file path=xl/ctrlProps/ctrlProp20.xml><?xml version="1.0" encoding="utf-8"?>
<formControlPr xmlns="http://schemas.microsoft.com/office/spreadsheetml/2009/9/main" objectType="CheckBox" checked="Checked" fmlaLink="$A$19" lockText="1" noThreeD="1"/>
</file>

<file path=xl/ctrlProps/ctrlProp21.xml><?xml version="1.0" encoding="utf-8"?>
<formControlPr xmlns="http://schemas.microsoft.com/office/spreadsheetml/2009/9/main" objectType="CheckBox" checked="Checked" fmlaLink="$A$31" lockText="1" noThreeD="1"/>
</file>

<file path=xl/ctrlProps/ctrlProp3.xml><?xml version="1.0" encoding="utf-8"?>
<formControlPr xmlns="http://schemas.microsoft.com/office/spreadsheetml/2009/9/main" objectType="CheckBox" checked="Checked" fmlaLink="$A$14" lockText="1" noThreeD="1"/>
</file>

<file path=xl/ctrlProps/ctrlProp4.xml><?xml version="1.0" encoding="utf-8"?>
<formControlPr xmlns="http://schemas.microsoft.com/office/spreadsheetml/2009/9/main" objectType="CheckBox" checked="Checked" fmlaLink="$A$15" lockText="1" noThreeD="1"/>
</file>

<file path=xl/ctrlProps/ctrlProp5.xml><?xml version="1.0" encoding="utf-8"?>
<formControlPr xmlns="http://schemas.microsoft.com/office/spreadsheetml/2009/9/main" objectType="CheckBox" checked="Checked" fmlaLink="$A$17" lockText="1" noThreeD="1"/>
</file>

<file path=xl/ctrlProps/ctrlProp6.xml><?xml version="1.0" encoding="utf-8"?>
<formControlPr xmlns="http://schemas.microsoft.com/office/spreadsheetml/2009/9/main" objectType="CheckBox" checked="Checked" fmlaLink="$A$18" lockText="1" noThreeD="1"/>
</file>

<file path=xl/ctrlProps/ctrlProp7.xml><?xml version="1.0" encoding="utf-8"?>
<formControlPr xmlns="http://schemas.microsoft.com/office/spreadsheetml/2009/9/main" objectType="CheckBox" checked="Checked" fmlaLink="$A$20" lockText="1" noThreeD="1"/>
</file>

<file path=xl/ctrlProps/ctrlProp8.xml><?xml version="1.0" encoding="utf-8"?>
<formControlPr xmlns="http://schemas.microsoft.com/office/spreadsheetml/2009/9/main" objectType="CheckBox" checked="Checked" fmlaLink="$A$21" lockText="1" noThreeD="1"/>
</file>

<file path=xl/ctrlProps/ctrlProp9.xml><?xml version="1.0" encoding="utf-8"?>
<formControlPr xmlns="http://schemas.microsoft.com/office/spreadsheetml/2009/9/main" objectType="CheckBox" checked="Checked" fmlaLink="$A$2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TA&#199;&#213;ES!Area_de_impressao"/><Relationship Id="rId2" Type="http://schemas.openxmlformats.org/officeDocument/2006/relationships/hyperlink" Target="#DADOS!A1"/><Relationship Id="rId1" Type="http://schemas.openxmlformats.org/officeDocument/2006/relationships/hyperlink" Target="#'MEMORIA DE CALCULO AT'!Area_de_impressao"/><Relationship Id="rId4" Type="http://schemas.openxmlformats.org/officeDocument/2006/relationships/image" Target="../media/image22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RONOGRAMA!Area_de_impressao"/><Relationship Id="rId2" Type="http://schemas.openxmlformats.org/officeDocument/2006/relationships/hyperlink" Target="#DADOS!A1"/><Relationship Id="rId1" Type="http://schemas.openxmlformats.org/officeDocument/2006/relationships/hyperlink" Target="#COTA&#199;&#213;ES!Area_de_impressao"/><Relationship Id="rId4" Type="http://schemas.openxmlformats.org/officeDocument/2006/relationships/image" Target="../media/image2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8.emf"/><Relationship Id="rId4" Type="http://schemas.openxmlformats.org/officeDocument/2006/relationships/hyperlink" Target="#CRONOGRAMA!Area_de_impressao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20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png"/><Relationship Id="rId1" Type="http://schemas.openxmlformats.org/officeDocument/2006/relationships/image" Target="../media/image22.emf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8.emf"/><Relationship Id="rId4" Type="http://schemas.openxmlformats.org/officeDocument/2006/relationships/hyperlink" Target="#CRONOGRAMA!Area_de_impressao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</xdr:row>
      <xdr:rowOff>180975</xdr:rowOff>
    </xdr:from>
    <xdr:to>
      <xdr:col>1</xdr:col>
      <xdr:colOff>2524125</xdr:colOff>
      <xdr:row>2</xdr:row>
      <xdr:rowOff>714921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381250"/>
          <a:ext cx="2428875" cy="53394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34180</xdr:colOff>
      <xdr:row>6</xdr:row>
      <xdr:rowOff>49966</xdr:rowOff>
    </xdr:from>
    <xdr:to>
      <xdr:col>1</xdr:col>
      <xdr:colOff>3213924</xdr:colOff>
      <xdr:row>6</xdr:row>
      <xdr:rowOff>1057275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6030" y="6479341"/>
          <a:ext cx="3179744" cy="100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13</xdr:row>
      <xdr:rowOff>85725</xdr:rowOff>
    </xdr:from>
    <xdr:to>
      <xdr:col>1</xdr:col>
      <xdr:colOff>3171825</xdr:colOff>
      <xdr:row>13</xdr:row>
      <xdr:rowOff>1012326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14268450"/>
          <a:ext cx="3067051" cy="926601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14</xdr:row>
      <xdr:rowOff>28576</xdr:rowOff>
    </xdr:from>
    <xdr:to>
      <xdr:col>1</xdr:col>
      <xdr:colOff>2114550</xdr:colOff>
      <xdr:row>14</xdr:row>
      <xdr:rowOff>1074861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5316201"/>
          <a:ext cx="1133475" cy="1046285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15</xdr:row>
      <xdr:rowOff>28576</xdr:rowOff>
    </xdr:from>
    <xdr:to>
      <xdr:col>1</xdr:col>
      <xdr:colOff>2495550</xdr:colOff>
      <xdr:row>15</xdr:row>
      <xdr:rowOff>1082740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16421101"/>
          <a:ext cx="1838325" cy="1054164"/>
        </a:xfrm>
        <a:prstGeom prst="rect">
          <a:avLst/>
        </a:prstGeom>
      </xdr:spPr>
    </xdr:pic>
    <xdr:clientData/>
  </xdr:twoCellAnchor>
  <xdr:twoCellAnchor editAs="oneCell">
    <xdr:from>
      <xdr:col>1</xdr:col>
      <xdr:colOff>39463</xdr:colOff>
      <xdr:row>16</xdr:row>
      <xdr:rowOff>114301</xdr:rowOff>
    </xdr:from>
    <xdr:to>
      <xdr:col>1</xdr:col>
      <xdr:colOff>3200401</xdr:colOff>
      <xdr:row>16</xdr:row>
      <xdr:rowOff>999364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313" y="17611726"/>
          <a:ext cx="3160938" cy="8850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</xdr:row>
      <xdr:rowOff>28576</xdr:rowOff>
    </xdr:from>
    <xdr:to>
      <xdr:col>1</xdr:col>
      <xdr:colOff>3038475</xdr:colOff>
      <xdr:row>17</xdr:row>
      <xdr:rowOff>1134876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18630901"/>
          <a:ext cx="2847975" cy="110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10</xdr:row>
      <xdr:rowOff>38101</xdr:rowOff>
    </xdr:from>
    <xdr:to>
      <xdr:col>1</xdr:col>
      <xdr:colOff>2964638</xdr:colOff>
      <xdr:row>10</xdr:row>
      <xdr:rowOff>1085851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0906126"/>
          <a:ext cx="2688413" cy="1047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308921</xdr:colOff>
      <xdr:row>2</xdr:row>
      <xdr:rowOff>127415</xdr:rowOff>
    </xdr:from>
    <xdr:to>
      <xdr:col>10</xdr:col>
      <xdr:colOff>632771</xdr:colOff>
      <xdr:row>3</xdr:row>
      <xdr:rowOff>71621</xdr:rowOff>
    </xdr:to>
    <xdr:sp macro="" textlink="">
      <xdr:nvSpPr>
        <xdr:cNvPr id="2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338996" y="517940"/>
          <a:ext cx="32385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266700</xdr:colOff>
      <xdr:row>0</xdr:row>
      <xdr:rowOff>219075</xdr:rowOff>
    </xdr:from>
    <xdr:to>
      <xdr:col>11</xdr:col>
      <xdr:colOff>238125</xdr:colOff>
      <xdr:row>2</xdr:row>
      <xdr:rowOff>54451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2296775" y="190500"/>
          <a:ext cx="895350" cy="25447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10</xdr:col>
      <xdr:colOff>794696</xdr:colOff>
      <xdr:row>2</xdr:row>
      <xdr:rowOff>136940</xdr:rowOff>
    </xdr:from>
    <xdr:to>
      <xdr:col>11</xdr:col>
      <xdr:colOff>194621</xdr:colOff>
      <xdr:row>3</xdr:row>
      <xdr:rowOff>81146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10800000">
          <a:off x="12824771" y="527465"/>
          <a:ext cx="32385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0</xdr:row>
          <xdr:rowOff>47625</xdr:rowOff>
        </xdr:from>
        <xdr:to>
          <xdr:col>2</xdr:col>
          <xdr:colOff>372939</xdr:colOff>
          <xdr:row>2</xdr:row>
          <xdr:rowOff>170216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5518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71475" y="47625"/>
              <a:ext cx="1592139" cy="51311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81474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77252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0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 rot="10800000">
          <a:off x="930052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0</xdr:row>
          <xdr:rowOff>66675</xdr:rowOff>
        </xdr:from>
        <xdr:to>
          <xdr:col>0</xdr:col>
          <xdr:colOff>1343025</xdr:colOff>
          <xdr:row>2</xdr:row>
          <xdr:rowOff>164565</xdr:rowOff>
        </xdr:to>
        <xdr:pic>
          <xdr:nvPicPr>
            <xdr:cNvPr id="7" name="Imagem 6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917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95250" y="66675"/>
              <a:ext cx="1247775" cy="48841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28575</xdr:rowOff>
        </xdr:from>
        <xdr:to>
          <xdr:col>1</xdr:col>
          <xdr:colOff>1219200</xdr:colOff>
          <xdr:row>2</xdr:row>
          <xdr:rowOff>136480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2829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7625" y="28575"/>
              <a:ext cx="1828800" cy="4660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23258373" y="1974851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23050500" y="1538654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85726</xdr:colOff>
          <xdr:row>0</xdr:row>
          <xdr:rowOff>66675</xdr:rowOff>
        </xdr:from>
        <xdr:to>
          <xdr:col>0</xdr:col>
          <xdr:colOff>1362076</xdr:colOff>
          <xdr:row>2</xdr:row>
          <xdr:rowOff>112895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101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726" y="66675"/>
              <a:ext cx="1276350" cy="4367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81474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77252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 rot="10800000">
          <a:off x="930052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66676</xdr:colOff>
          <xdr:row>0</xdr:row>
          <xdr:rowOff>28575</xdr:rowOff>
        </xdr:from>
        <xdr:to>
          <xdr:col>1</xdr:col>
          <xdr:colOff>1200150</xdr:colOff>
          <xdr:row>2</xdr:row>
          <xdr:rowOff>133350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4866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6676" y="28575"/>
              <a:ext cx="1781174" cy="4572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23227313" y="1966568"/>
          <a:ext cx="326335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23002875" y="1524000"/>
          <a:ext cx="892419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24848</xdr:colOff>
          <xdr:row>0</xdr:row>
          <xdr:rowOff>57978</xdr:rowOff>
        </xdr:from>
        <xdr:to>
          <xdr:col>0</xdr:col>
          <xdr:colOff>1374913</xdr:colOff>
          <xdr:row>2</xdr:row>
          <xdr:rowOff>136332</xdr:rowOff>
        </xdr:to>
        <xdr:pic>
          <xdr:nvPicPr>
            <xdr:cNvPr id="3" name="Imagem 2">
              <a:extLst>
                <a:ext uri="{FF2B5EF4-FFF2-40B4-BE49-F238E27FC236}">
                  <a16:creationId xmlns:a16="http://schemas.microsoft.com/office/drawing/2014/main" id="{00000000-0008-0000-10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7216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4848" y="57978"/>
              <a:ext cx="1350065" cy="41413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72474</xdr:colOff>
          <xdr:row>0</xdr:row>
          <xdr:rowOff>38928</xdr:rowOff>
        </xdr:from>
        <xdr:to>
          <xdr:col>0</xdr:col>
          <xdr:colOff>1371600</xdr:colOff>
          <xdr:row>2</xdr:row>
          <xdr:rowOff>95250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5374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4" y="38928"/>
              <a:ext cx="1299126" cy="380172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195677</xdr:colOff>
      <xdr:row>1</xdr:row>
      <xdr:rowOff>87922</xdr:rowOff>
    </xdr:from>
    <xdr:to>
      <xdr:col>2</xdr:col>
      <xdr:colOff>663395</xdr:colOff>
      <xdr:row>3</xdr:row>
      <xdr:rowOff>135861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227" y="278422"/>
          <a:ext cx="1315443" cy="5813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11</xdr:row>
          <xdr:rowOff>0</xdr:rowOff>
        </xdr:from>
        <xdr:to>
          <xdr:col>3</xdr:col>
          <xdr:colOff>314325</xdr:colOff>
          <xdr:row>11</xdr:row>
          <xdr:rowOff>276225</xdr:rowOff>
        </xdr:to>
        <xdr:sp macro="" textlink="">
          <xdr:nvSpPr>
            <xdr:cNvPr id="154625" name="Check Box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3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12</xdr:row>
          <xdr:rowOff>19050</xdr:rowOff>
        </xdr:from>
        <xdr:to>
          <xdr:col>3</xdr:col>
          <xdr:colOff>266700</xdr:colOff>
          <xdr:row>12</xdr:row>
          <xdr:rowOff>228600</xdr:rowOff>
        </xdr:to>
        <xdr:sp macro="" textlink="">
          <xdr:nvSpPr>
            <xdr:cNvPr id="154626" name="Check Box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3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13</xdr:row>
          <xdr:rowOff>9525</xdr:rowOff>
        </xdr:from>
        <xdr:to>
          <xdr:col>3</xdr:col>
          <xdr:colOff>323850</xdr:colOff>
          <xdr:row>14</xdr:row>
          <xdr:rowOff>0</xdr:rowOff>
        </xdr:to>
        <xdr:sp macro="" textlink="">
          <xdr:nvSpPr>
            <xdr:cNvPr id="154627" name="Check Box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3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</xdr:row>
          <xdr:rowOff>0</xdr:rowOff>
        </xdr:from>
        <xdr:to>
          <xdr:col>3</xdr:col>
          <xdr:colOff>323850</xdr:colOff>
          <xdr:row>15</xdr:row>
          <xdr:rowOff>0</xdr:rowOff>
        </xdr:to>
        <xdr:sp macro="" textlink="">
          <xdr:nvSpPr>
            <xdr:cNvPr id="154628" name="Check Box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3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16</xdr:row>
          <xdr:rowOff>19050</xdr:rowOff>
        </xdr:from>
        <xdr:to>
          <xdr:col>3</xdr:col>
          <xdr:colOff>314325</xdr:colOff>
          <xdr:row>16</xdr:row>
          <xdr:rowOff>361950</xdr:rowOff>
        </xdr:to>
        <xdr:sp macro="" textlink="">
          <xdr:nvSpPr>
            <xdr:cNvPr id="154629" name="Check Box 5" hidden="1">
              <a:extLst>
                <a:ext uri="{63B3BB69-23CF-44E3-9099-C40C66FF867C}">
                  <a14:compatExt spid="_x0000_s154629"/>
                </a:ext>
                <a:ext uri="{FF2B5EF4-FFF2-40B4-BE49-F238E27FC236}">
                  <a16:creationId xmlns:a16="http://schemas.microsoft.com/office/drawing/2014/main" id="{00000000-0008-0000-0300-000005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17</xdr:row>
          <xdr:rowOff>47625</xdr:rowOff>
        </xdr:from>
        <xdr:to>
          <xdr:col>3</xdr:col>
          <xdr:colOff>314325</xdr:colOff>
          <xdr:row>17</xdr:row>
          <xdr:rowOff>323850</xdr:rowOff>
        </xdr:to>
        <xdr:sp macro="" textlink="">
          <xdr:nvSpPr>
            <xdr:cNvPr id="154630" name="Check Box 6" hidden="1">
              <a:extLst>
                <a:ext uri="{63B3BB69-23CF-44E3-9099-C40C66FF867C}">
                  <a14:compatExt spid="_x0000_s154630"/>
                </a:ext>
                <a:ext uri="{FF2B5EF4-FFF2-40B4-BE49-F238E27FC236}">
                  <a16:creationId xmlns:a16="http://schemas.microsoft.com/office/drawing/2014/main" id="{00000000-0008-0000-0300-000006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19</xdr:row>
          <xdr:rowOff>9525</xdr:rowOff>
        </xdr:from>
        <xdr:to>
          <xdr:col>3</xdr:col>
          <xdr:colOff>257175</xdr:colOff>
          <xdr:row>19</xdr:row>
          <xdr:rowOff>266700</xdr:rowOff>
        </xdr:to>
        <xdr:sp macro="" textlink="">
          <xdr:nvSpPr>
            <xdr:cNvPr id="154631" name="Check Box 7" hidden="1">
              <a:extLst>
                <a:ext uri="{63B3BB69-23CF-44E3-9099-C40C66FF867C}">
                  <a14:compatExt spid="_x0000_s154631"/>
                </a:ext>
                <a:ext uri="{FF2B5EF4-FFF2-40B4-BE49-F238E27FC236}">
                  <a16:creationId xmlns:a16="http://schemas.microsoft.com/office/drawing/2014/main" id="{00000000-0008-0000-0300-000007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20</xdr:row>
          <xdr:rowOff>66675</xdr:rowOff>
        </xdr:from>
        <xdr:to>
          <xdr:col>3</xdr:col>
          <xdr:colOff>323850</xdr:colOff>
          <xdr:row>21</xdr:row>
          <xdr:rowOff>0</xdr:rowOff>
        </xdr:to>
        <xdr:sp macro="" textlink="">
          <xdr:nvSpPr>
            <xdr:cNvPr id="154632" name="Check Box 8" hidden="1">
              <a:extLst>
                <a:ext uri="{63B3BB69-23CF-44E3-9099-C40C66FF867C}">
                  <a14:compatExt spid="_x0000_s154632"/>
                </a:ext>
                <a:ext uri="{FF2B5EF4-FFF2-40B4-BE49-F238E27FC236}">
                  <a16:creationId xmlns:a16="http://schemas.microsoft.com/office/drawing/2014/main" id="{00000000-0008-0000-0300-000008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21</xdr:row>
          <xdr:rowOff>57150</xdr:rowOff>
        </xdr:from>
        <xdr:to>
          <xdr:col>3</xdr:col>
          <xdr:colOff>323850</xdr:colOff>
          <xdr:row>21</xdr:row>
          <xdr:rowOff>333375</xdr:rowOff>
        </xdr:to>
        <xdr:sp macro="" textlink="">
          <xdr:nvSpPr>
            <xdr:cNvPr id="154633" name="Check Box 9" hidden="1">
              <a:extLst>
                <a:ext uri="{63B3BB69-23CF-44E3-9099-C40C66FF867C}">
                  <a14:compatExt spid="_x0000_s154633"/>
                </a:ext>
                <a:ext uri="{FF2B5EF4-FFF2-40B4-BE49-F238E27FC236}">
                  <a16:creationId xmlns:a16="http://schemas.microsoft.com/office/drawing/2014/main" id="{00000000-0008-0000-0300-000009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22</xdr:row>
          <xdr:rowOff>66675</xdr:rowOff>
        </xdr:from>
        <xdr:to>
          <xdr:col>3</xdr:col>
          <xdr:colOff>323850</xdr:colOff>
          <xdr:row>22</xdr:row>
          <xdr:rowOff>342900</xdr:rowOff>
        </xdr:to>
        <xdr:sp macro="" textlink="">
          <xdr:nvSpPr>
            <xdr:cNvPr id="154634" name="Check Box 10" hidden="1">
              <a:extLst>
                <a:ext uri="{63B3BB69-23CF-44E3-9099-C40C66FF867C}">
                  <a14:compatExt spid="_x0000_s154634"/>
                </a:ext>
                <a:ext uri="{FF2B5EF4-FFF2-40B4-BE49-F238E27FC236}">
                  <a16:creationId xmlns:a16="http://schemas.microsoft.com/office/drawing/2014/main" id="{00000000-0008-0000-0300-00000A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23</xdr:row>
          <xdr:rowOff>57150</xdr:rowOff>
        </xdr:from>
        <xdr:to>
          <xdr:col>3</xdr:col>
          <xdr:colOff>323850</xdr:colOff>
          <xdr:row>23</xdr:row>
          <xdr:rowOff>333375</xdr:rowOff>
        </xdr:to>
        <xdr:sp macro="" textlink="">
          <xdr:nvSpPr>
            <xdr:cNvPr id="154635" name="Check Box 11" hidden="1">
              <a:extLst>
                <a:ext uri="{63B3BB69-23CF-44E3-9099-C40C66FF867C}">
                  <a14:compatExt spid="_x0000_s154635"/>
                </a:ext>
                <a:ext uri="{FF2B5EF4-FFF2-40B4-BE49-F238E27FC236}">
                  <a16:creationId xmlns:a16="http://schemas.microsoft.com/office/drawing/2014/main" id="{00000000-0008-0000-0300-00000B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24</xdr:row>
          <xdr:rowOff>57150</xdr:rowOff>
        </xdr:from>
        <xdr:to>
          <xdr:col>3</xdr:col>
          <xdr:colOff>323850</xdr:colOff>
          <xdr:row>24</xdr:row>
          <xdr:rowOff>352425</xdr:rowOff>
        </xdr:to>
        <xdr:sp macro="" textlink="">
          <xdr:nvSpPr>
            <xdr:cNvPr id="154636" name="Check Box 12" hidden="1">
              <a:extLst>
                <a:ext uri="{63B3BB69-23CF-44E3-9099-C40C66FF867C}">
                  <a14:compatExt spid="_x0000_s154636"/>
                </a:ext>
                <a:ext uri="{FF2B5EF4-FFF2-40B4-BE49-F238E27FC236}">
                  <a16:creationId xmlns:a16="http://schemas.microsoft.com/office/drawing/2014/main" id="{00000000-0008-0000-0300-00000C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25</xdr:row>
          <xdr:rowOff>47625</xdr:rowOff>
        </xdr:from>
        <xdr:to>
          <xdr:col>3</xdr:col>
          <xdr:colOff>323850</xdr:colOff>
          <xdr:row>25</xdr:row>
          <xdr:rowOff>323850</xdr:rowOff>
        </xdr:to>
        <xdr:sp macro="" textlink="">
          <xdr:nvSpPr>
            <xdr:cNvPr id="154637" name="Check Box 13" hidden="1">
              <a:extLst>
                <a:ext uri="{63B3BB69-23CF-44E3-9099-C40C66FF867C}">
                  <a14:compatExt spid="_x0000_s154637"/>
                </a:ext>
                <a:ext uri="{FF2B5EF4-FFF2-40B4-BE49-F238E27FC236}">
                  <a16:creationId xmlns:a16="http://schemas.microsoft.com/office/drawing/2014/main" id="{00000000-0008-0000-0300-00000D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26</xdr:row>
          <xdr:rowOff>57150</xdr:rowOff>
        </xdr:from>
        <xdr:to>
          <xdr:col>3</xdr:col>
          <xdr:colOff>323850</xdr:colOff>
          <xdr:row>26</xdr:row>
          <xdr:rowOff>333375</xdr:rowOff>
        </xdr:to>
        <xdr:sp macro="" textlink="">
          <xdr:nvSpPr>
            <xdr:cNvPr id="154638" name="Check Box 14" hidden="1">
              <a:extLst>
                <a:ext uri="{63B3BB69-23CF-44E3-9099-C40C66FF867C}">
                  <a14:compatExt spid="_x0000_s154638"/>
                </a:ext>
                <a:ext uri="{FF2B5EF4-FFF2-40B4-BE49-F238E27FC236}">
                  <a16:creationId xmlns:a16="http://schemas.microsoft.com/office/drawing/2014/main" id="{00000000-0008-0000-0300-00000E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27</xdr:row>
          <xdr:rowOff>76200</xdr:rowOff>
        </xdr:from>
        <xdr:to>
          <xdr:col>3</xdr:col>
          <xdr:colOff>323850</xdr:colOff>
          <xdr:row>27</xdr:row>
          <xdr:rowOff>352425</xdr:rowOff>
        </xdr:to>
        <xdr:sp macro="" textlink="">
          <xdr:nvSpPr>
            <xdr:cNvPr id="154639" name="Check Box 15" hidden="1">
              <a:extLst>
                <a:ext uri="{63B3BB69-23CF-44E3-9099-C40C66FF867C}">
                  <a14:compatExt spid="_x0000_s154639"/>
                </a:ext>
                <a:ext uri="{FF2B5EF4-FFF2-40B4-BE49-F238E27FC236}">
                  <a16:creationId xmlns:a16="http://schemas.microsoft.com/office/drawing/2014/main" id="{00000000-0008-0000-0300-00000F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28</xdr:row>
          <xdr:rowOff>57150</xdr:rowOff>
        </xdr:from>
        <xdr:to>
          <xdr:col>3</xdr:col>
          <xdr:colOff>323850</xdr:colOff>
          <xdr:row>28</xdr:row>
          <xdr:rowOff>333375</xdr:rowOff>
        </xdr:to>
        <xdr:sp macro="" textlink="">
          <xdr:nvSpPr>
            <xdr:cNvPr id="154640" name="Check Box 16" hidden="1">
              <a:extLst>
                <a:ext uri="{63B3BB69-23CF-44E3-9099-C40C66FF867C}">
                  <a14:compatExt spid="_x0000_s154640"/>
                </a:ext>
                <a:ext uri="{FF2B5EF4-FFF2-40B4-BE49-F238E27FC236}">
                  <a16:creationId xmlns:a16="http://schemas.microsoft.com/office/drawing/2014/main" id="{00000000-0008-0000-0300-000010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29</xdr:row>
          <xdr:rowOff>76200</xdr:rowOff>
        </xdr:from>
        <xdr:to>
          <xdr:col>3</xdr:col>
          <xdr:colOff>323850</xdr:colOff>
          <xdr:row>29</xdr:row>
          <xdr:rowOff>352425</xdr:rowOff>
        </xdr:to>
        <xdr:sp macro="" textlink="">
          <xdr:nvSpPr>
            <xdr:cNvPr id="154641" name="Check Box 17" hidden="1">
              <a:extLst>
                <a:ext uri="{63B3BB69-23CF-44E3-9099-C40C66FF867C}">
                  <a14:compatExt spid="_x0000_s154641"/>
                </a:ext>
                <a:ext uri="{FF2B5EF4-FFF2-40B4-BE49-F238E27FC236}">
                  <a16:creationId xmlns:a16="http://schemas.microsoft.com/office/drawing/2014/main" id="{00000000-0008-0000-0300-00001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31</xdr:row>
          <xdr:rowOff>57150</xdr:rowOff>
        </xdr:from>
        <xdr:to>
          <xdr:col>3</xdr:col>
          <xdr:colOff>323850</xdr:colOff>
          <xdr:row>31</xdr:row>
          <xdr:rowOff>333375</xdr:rowOff>
        </xdr:to>
        <xdr:sp macro="" textlink="">
          <xdr:nvSpPr>
            <xdr:cNvPr id="154642" name="Check Box 18" hidden="1">
              <a:extLst>
                <a:ext uri="{63B3BB69-23CF-44E3-9099-C40C66FF867C}">
                  <a14:compatExt spid="_x0000_s154642"/>
                </a:ext>
                <a:ext uri="{FF2B5EF4-FFF2-40B4-BE49-F238E27FC236}">
                  <a16:creationId xmlns:a16="http://schemas.microsoft.com/office/drawing/2014/main" id="{00000000-0008-0000-0300-00001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15</xdr:row>
          <xdr:rowOff>19050</xdr:rowOff>
        </xdr:from>
        <xdr:to>
          <xdr:col>3</xdr:col>
          <xdr:colOff>314325</xdr:colOff>
          <xdr:row>15</xdr:row>
          <xdr:rowOff>361950</xdr:rowOff>
        </xdr:to>
        <xdr:sp macro="" textlink="">
          <xdr:nvSpPr>
            <xdr:cNvPr id="154643" name="Check Box 19" hidden="1">
              <a:extLst>
                <a:ext uri="{63B3BB69-23CF-44E3-9099-C40C66FF867C}">
                  <a14:compatExt spid="_x0000_s154643"/>
                </a:ext>
                <a:ext uri="{FF2B5EF4-FFF2-40B4-BE49-F238E27FC236}">
                  <a16:creationId xmlns:a16="http://schemas.microsoft.com/office/drawing/2014/main" id="{00000000-0008-0000-0300-00001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18</xdr:row>
          <xdr:rowOff>0</xdr:rowOff>
        </xdr:from>
        <xdr:to>
          <xdr:col>3</xdr:col>
          <xdr:colOff>323850</xdr:colOff>
          <xdr:row>18</xdr:row>
          <xdr:rowOff>276225</xdr:rowOff>
        </xdr:to>
        <xdr:sp macro="" textlink="">
          <xdr:nvSpPr>
            <xdr:cNvPr id="154644" name="Check Box 20" hidden="1">
              <a:extLst>
                <a:ext uri="{63B3BB69-23CF-44E3-9099-C40C66FF867C}">
                  <a14:compatExt spid="_x0000_s154644"/>
                </a:ext>
                <a:ext uri="{FF2B5EF4-FFF2-40B4-BE49-F238E27FC236}">
                  <a16:creationId xmlns:a16="http://schemas.microsoft.com/office/drawing/2014/main" id="{00000000-0008-0000-0300-00001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30</xdr:row>
          <xdr:rowOff>57150</xdr:rowOff>
        </xdr:from>
        <xdr:to>
          <xdr:col>3</xdr:col>
          <xdr:colOff>323850</xdr:colOff>
          <xdr:row>30</xdr:row>
          <xdr:rowOff>333375</xdr:rowOff>
        </xdr:to>
        <xdr:sp macro="" textlink="">
          <xdr:nvSpPr>
            <xdr:cNvPr id="154645" name="Check Box 21" hidden="1">
              <a:extLst>
                <a:ext uri="{63B3BB69-23CF-44E3-9099-C40C66FF867C}">
                  <a14:compatExt spid="_x0000_s154645"/>
                </a:ext>
                <a:ext uri="{FF2B5EF4-FFF2-40B4-BE49-F238E27FC236}">
                  <a16:creationId xmlns:a16="http://schemas.microsoft.com/office/drawing/2014/main" id="{00000000-0008-0000-0300-000015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19050</xdr:rowOff>
        </xdr:from>
        <xdr:to>
          <xdr:col>1</xdr:col>
          <xdr:colOff>459064</xdr:colOff>
          <xdr:row>2</xdr:row>
          <xdr:rowOff>171450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ss" spid="_x0000_s15579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90500" y="19050"/>
              <a:ext cx="1602064" cy="51435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95251</xdr:colOff>
          <xdr:row>1</xdr:row>
          <xdr:rowOff>66675</xdr:rowOff>
        </xdr:from>
        <xdr:to>
          <xdr:col>1</xdr:col>
          <xdr:colOff>1562101</xdr:colOff>
          <xdr:row>3</xdr:row>
          <xdr:rowOff>147089</xdr:rowOff>
        </xdr:to>
        <xdr:pic>
          <xdr:nvPicPr>
            <xdr:cNvPr id="5" name="Imagem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ss" spid="_x0000_s16910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04851" y="257175"/>
              <a:ext cx="1466850" cy="470939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36636</xdr:colOff>
          <xdr:row>1</xdr:row>
          <xdr:rowOff>29309</xdr:rowOff>
        </xdr:from>
        <xdr:to>
          <xdr:col>2</xdr:col>
          <xdr:colOff>967740</xdr:colOff>
          <xdr:row>3</xdr:row>
          <xdr:rowOff>151900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296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6236" y="219809"/>
              <a:ext cx="1592139" cy="51311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95249</xdr:colOff>
          <xdr:row>2</xdr:row>
          <xdr:rowOff>76200</xdr:rowOff>
        </xdr:from>
        <xdr:to>
          <xdr:col>2</xdr:col>
          <xdr:colOff>1162049</xdr:colOff>
          <xdr:row>4</xdr:row>
          <xdr:rowOff>142875</xdr:rowOff>
        </xdr:to>
        <xdr:pic>
          <xdr:nvPicPr>
            <xdr:cNvPr id="41" name="Imagem 40">
              <a:extLst>
                <a:ext uri="{FF2B5EF4-FFF2-40B4-BE49-F238E27FC236}">
                  <a16:creationId xmlns:a16="http://schemas.microsoft.com/office/drawing/2014/main" id="{00000000-0008-0000-0800-00002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3638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57274" y="400050"/>
              <a:ext cx="2085975" cy="44767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1</xdr:col>
      <xdr:colOff>107750</xdr:colOff>
      <xdr:row>76</xdr:row>
      <xdr:rowOff>34739</xdr:rowOff>
    </xdr:from>
    <xdr:to>
      <xdr:col>3</xdr:col>
      <xdr:colOff>1044928</xdr:colOff>
      <xdr:row>76</xdr:row>
      <xdr:rowOff>1371601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775" y="22437539"/>
          <a:ext cx="3204128" cy="1336862"/>
        </a:xfrm>
        <a:prstGeom prst="rect">
          <a:avLst/>
        </a:prstGeom>
      </xdr:spPr>
    </xdr:pic>
    <xdr:clientData/>
  </xdr:twoCellAnchor>
  <xdr:oneCellAnchor>
    <xdr:from>
      <xdr:col>1</xdr:col>
      <xdr:colOff>194896</xdr:colOff>
      <xdr:row>43</xdr:row>
      <xdr:rowOff>123093</xdr:rowOff>
    </xdr:from>
    <xdr:ext cx="3005503" cy="1096108"/>
    <xdr:pic>
      <xdr:nvPicPr>
        <xdr:cNvPr id="3" name="Imagem 2" descr="Ver a imagem de orige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921" y="21154293"/>
          <a:ext cx="3005503" cy="1096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171448</xdr:colOff>
      <xdr:row>64</xdr:row>
      <xdr:rowOff>209552</xdr:rowOff>
    </xdr:from>
    <xdr:to>
      <xdr:col>3</xdr:col>
      <xdr:colOff>1085849</xdr:colOff>
      <xdr:row>64</xdr:row>
      <xdr:rowOff>1704976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3" y="13220702"/>
          <a:ext cx="3181351" cy="149542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68</xdr:row>
      <xdr:rowOff>47627</xdr:rowOff>
    </xdr:from>
    <xdr:to>
      <xdr:col>3</xdr:col>
      <xdr:colOff>1047750</xdr:colOff>
      <xdr:row>68</xdr:row>
      <xdr:rowOff>2171700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" y="15392402"/>
          <a:ext cx="3209925" cy="2124073"/>
        </a:xfrm>
        <a:prstGeom prst="rect">
          <a:avLst/>
        </a:prstGeom>
      </xdr:spPr>
    </xdr:pic>
    <xdr:clientData/>
  </xdr:twoCellAnchor>
  <xdr:oneCellAnchor>
    <xdr:from>
      <xdr:col>1</xdr:col>
      <xdr:colOff>98206</xdr:colOff>
      <xdr:row>72</xdr:row>
      <xdr:rowOff>72260</xdr:rowOff>
    </xdr:from>
    <xdr:ext cx="3092669" cy="1308865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0231" y="29437835"/>
          <a:ext cx="3092669" cy="130886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95348</xdr:colOff>
      <xdr:row>1</xdr:row>
      <xdr:rowOff>104774</xdr:rowOff>
    </xdr:from>
    <xdr:to>
      <xdr:col>2</xdr:col>
      <xdr:colOff>283133</xdr:colOff>
      <xdr:row>3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48" y="352424"/>
          <a:ext cx="1245060" cy="409576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85726</xdr:colOff>
          <xdr:row>0</xdr:row>
          <xdr:rowOff>66675</xdr:rowOff>
        </xdr:from>
        <xdr:to>
          <xdr:col>0</xdr:col>
          <xdr:colOff>1362076</xdr:colOff>
          <xdr:row>2</xdr:row>
          <xdr:rowOff>112895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801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726" y="66675"/>
              <a:ext cx="1276350" cy="4367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81474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77252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 rot="10800000">
          <a:off x="930052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 PISO MANTA VÍNILICA" growShrinkType="overwriteClear" connectionId="16" xr16:uid="{00000000-0016-0000-0600-00000D000000}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 VERGA PORTA GERAL" growShrinkType="overwriteClear" connectionId="1" xr16:uid="{00000000-0016-0000-0600-000009000000}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PISO 60X60CM GERAL" growShrinkType="overwriteClear" connectionId="17" xr16:uid="{00000000-0016-0000-0600-000005000000}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ACRÍLICA INTERNA EM PAREDES" growShrinkType="overwriteClear" connectionId="27" xr16:uid="{00000000-0016-0000-0600-000003000000}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RUFO DE ENCOSTO EM AÇO GALVANIZADO_2" growShrinkType="overwriteClear" connectionId="14" xr16:uid="{00000000-0016-0000-0600-000007000000}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TABELA DE AMBIENTES GERAL" growShrinkType="overwriteClear" connectionId="2" xr16:uid="{00000000-0016-0000-0600-00000E000000}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PORTAS_2" connectionId="31" xr16:uid="{00000000-0016-0000-0600-000006000000}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JANELA_2" growShrinkType="overwriteClear" connectionId="29" xr16:uid="{00000000-0016-0000-0600-000016000000}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6 - ACESSÓRIOS ESPECIAIS" growShrinkType="overwriteClear" connectionId="23" xr16:uid="{00000000-0016-0000-0600-000002000000}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COBERTURA" growShrinkType="overwriteClear" connectionId="8" xr16:uid="{00000000-0016-0000-0600-00000F000000}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RODAPÉ MANTA VÍNILICA" growShrinkType="overwriteClear" connectionId="20" xr16:uid="{00000000-0016-0000-0600-00001C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URBANIZAÇÃO_1" growShrinkType="overwriteClear" connectionId="22" xr16:uid="{00000000-0016-0000-0600-000010000000}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RODAPÉ CERÂMICO 60X60CM" growShrinkType="overwriteClear" connectionId="19" xr16:uid="{00000000-0016-0000-0600-000008000000}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3 - PORTAS" growShrinkType="overwriteClear" connectionId="6" xr16:uid="{00000000-0016-0000-0600-000015000000}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REVESTIMENTO LAMINADO" growShrinkType="overwriteClear" connectionId="13" xr16:uid="{00000000-0016-0000-0600-000000000000}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3 - PEITORIL DE GRANITO PARA JANELAS" growShrinkType="overwriteClear" connectionId="5" xr16:uid="{00000000-0016-0000-0600-00001A000000}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INSTALAÇÃO DE AZULEJO - H _ 1_80M - TOTAL" growShrinkType="overwriteClear" connectionId="11" xr16:uid="{00000000-0016-0000-0600-00001D000000}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PORTAS_1" connectionId="30" xr16:uid="{00000000-0016-0000-0600-000011000000}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ACRÍLICA EM TETO" growShrinkType="overwriteClear" connectionId="26" xr16:uid="{00000000-0016-0000-0600-00001B000000}" autoFormatId="16" applyNumberFormats="0" applyBorderFormats="0" applyFontFormats="0" applyPatternFormats="0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SOLEIRA" growShrinkType="overwriteClear" connectionId="21" xr16:uid="{00000000-0016-0000-0600-000019000000}" autoFormatId="16" applyNumberFormats="0" applyBorderFormats="0" applyFontFormats="0" applyPatternFormats="0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CUMEEIRA EM FIBROCIMENTO" growShrinkType="overwriteClear" connectionId="9" xr16:uid="{00000000-0016-0000-0600-000018000000}" autoFormatId="16" applyNumberFormats="0" applyBorderFormats="0" applyFontFormats="0" applyPatternFormats="0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6 - TABELA DE LOUÇAS_1" growShrinkType="overwriteClear" connectionId="25" xr16:uid="{00000000-0016-0000-0600-000004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JANELA" growShrinkType="overwriteClear" connectionId="28" xr16:uid="{00000000-0016-0000-0600-000012000000}" autoFormatId="16" applyNumberFormats="0" applyBorderFormats="0" applyFontFormats="0" applyPatternFormats="0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3 - JANELAS" growShrinkType="overwriteClear" connectionId="4" xr16:uid="{00000000-0016-0000-0600-000013000000}" autoFormatId="16" applyNumberFormats="0" applyBorderFormats="0" applyFontFormats="0" applyPatternFormats="0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6 - ACESSÓRIOS ESPECIAIS_1" growShrinkType="overwriteClear" connectionId="24" xr16:uid="{00000000-0016-0000-0600-00000C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VERGA_CONTRAVERGA JANELAS GERAL" growShrinkType="overwriteClear" connectionId="3" xr16:uid="{00000000-0016-0000-0600-00000A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MATERIAIS - CALHA" connectionId="12" xr16:uid="{00000000-0016-0000-0600-000014000000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FORRO DRYWALL_1" growShrinkType="overwriteClear" connectionId="10" xr16:uid="{00000000-0016-0000-0600-00001E000000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CHAPISCO TETO" growShrinkType="overwriteClear" connectionId="7" xr16:uid="{00000000-0016-0000-0600-000017000000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RUFO PINGADEIRA  EM AÇO GALVANIZADO" connectionId="15" xr16:uid="{00000000-0016-0000-0600-000001000000}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PISO 60X60CM GERAL_1" connectionId="18" xr16:uid="{00000000-0016-0000-0600-00000B000000}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5EDBA4-4D78-4BA2-8F57-F0F0F0705DBA}" name="Tabela32" displayName="Tabela32" ref="B13:E18" totalsRowShown="0" headerRowDxfId="34" dataDxfId="32" headerRowBorderDxfId="33" tableBorderDxfId="31" headerRowCellStyle="Vírgula">
  <autoFilter ref="B13:E18" xr:uid="{00000000-0009-0000-0100-000003000000}"/>
  <tableColumns count="4">
    <tableColumn id="1" xr3:uid="{CB5C87DA-7637-4BC1-97E1-1D3B6295AD1A}" name="ITEM" dataDxfId="30"/>
    <tableColumn id="6" xr3:uid="{6BE13E96-12E5-484E-9BCD-62BF44921690}" name="DESCRIÇÃO" dataDxfId="29">
      <calculatedColumnFormula>VLOOKUP(Tabela32[[#This Row],[ITEM]],'ORÇAMENTO_N DES'!B:P,6,0)</calculatedColumnFormula>
    </tableColumn>
    <tableColumn id="7" xr3:uid="{4DEC2BE9-E93D-4B52-AE91-40FAC87C1938}" name="UNIDADE" dataDxfId="28">
      <calculatedColumnFormula>VLOOKUP(Tabela32[[#This Row],[ITEM]],'ORÇAMENTO_N DES'!B:P,7,0)</calculatedColumnFormula>
    </tableColumn>
    <tableColumn id="8" xr3:uid="{5210A90A-0F47-4ABB-A0AF-C181AF840A27}" name="QUANTIDADE" dataDxfId="9">
      <calculatedColumnFormula>VLOOKUP(Tabela32[[#This Row],[ITEM]],'ORÇAMENTO_N DES'!B:O,8)*0.5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ela3" displayName="Tabela3" ref="B13:P70" totalsRowShown="0" headerRowDxfId="27" dataDxfId="25" headerRowBorderDxfId="26" tableBorderDxfId="24" headerRowCellStyle="Vírgula">
  <autoFilter ref="B13:P70" xr:uid="{00000000-0009-0000-0100-000003000000}"/>
  <tableColumns count="15">
    <tableColumn id="1" xr3:uid="{00000000-0010-0000-0000-000001000000}" name="ITEM" dataDxfId="23"/>
    <tableColumn id="2" xr3:uid="{00000000-0010-0000-0000-000002000000}" name="SERVIÇO" dataDxfId="22"/>
    <tableColumn id="3" xr3:uid="{00000000-0010-0000-0000-000003000000}" name="REFERENCIAL" dataDxfId="21"/>
    <tableColumn id="4" xr3:uid="{00000000-0010-0000-0000-000004000000}" name="CÓD ENG" dataDxfId="20"/>
    <tableColumn id="5" xr3:uid="{00000000-0010-0000-0000-000005000000}" name="CÓDIGO" dataDxfId="19"/>
    <tableColumn id="6" xr3:uid="{00000000-0010-0000-0000-000006000000}" name="DESCRIÇÃO" dataDxfId="18"/>
    <tableColumn id="7" xr3:uid="{00000000-0010-0000-0000-000007000000}" name="UNIDADE" dataDxfId="17"/>
    <tableColumn id="8" xr3:uid="{00000000-0010-0000-0000-000008000000}" name="QUANTIDADE" dataDxfId="16"/>
    <tableColumn id="12" xr3:uid="{D8522219-1B07-4EBC-AA0A-4E17044EFC84}" name="COEFICIENTE DE MULTIPLICAÇÃO"/>
    <tableColumn id="9" xr3:uid="{00000000-0010-0000-0000-000009000000}" name="CUSTO UNITÁRIO S/ DES" dataDxfId="15"/>
    <tableColumn id="14" xr3:uid="{00000000-0010-0000-0000-00000E000000}" name="CUSTO UNITÁRIO S/ DES2" dataDxfId="14"/>
    <tableColumn id="10" xr3:uid="{00000000-0010-0000-0000-00000A000000}" name="CUSTO UNITÁRIO C/BDI S/ DES" dataDxfId="13"/>
    <tableColumn id="13" xr3:uid="{00000000-0010-0000-0000-00000D000000}" name="CUSTO UNITÁRIO C/BDI S/ DES2" dataDxfId="12">
      <calculatedColumnFormula>TRUNC(L14*(1+$C$9),2)</calculatedColumnFormula>
    </tableColumn>
    <tableColumn id="15" xr3:uid="{00000000-0010-0000-0000-00000F000000}" name="CUSTO TOTAL C/ BDI S/ DES" dataDxfId="11">
      <calculatedColumnFormula>TRUNC(N14*I14,2)</calculatedColumnFormula>
    </tableColumn>
    <tableColumn id="11" xr3:uid="{00000000-0010-0000-0000-00000B000000}" name="CUSTO TOTAL C/ BDI S/ DES2" dataDxfId="1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11.xml"/><Relationship Id="rId18" Type="http://schemas.openxmlformats.org/officeDocument/2006/relationships/queryTable" Target="../queryTables/queryTable16.xml"/><Relationship Id="rId26" Type="http://schemas.openxmlformats.org/officeDocument/2006/relationships/queryTable" Target="../queryTables/queryTable24.xml"/><Relationship Id="rId3" Type="http://schemas.openxmlformats.org/officeDocument/2006/relationships/queryTable" Target="../queryTables/queryTable1.xml"/><Relationship Id="rId21" Type="http://schemas.openxmlformats.org/officeDocument/2006/relationships/queryTable" Target="../queryTables/queryTable19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17" Type="http://schemas.openxmlformats.org/officeDocument/2006/relationships/queryTable" Target="../queryTables/queryTable15.xml"/><Relationship Id="rId25" Type="http://schemas.openxmlformats.org/officeDocument/2006/relationships/queryTable" Target="../queryTables/queryTable23.xml"/><Relationship Id="rId33" Type="http://schemas.openxmlformats.org/officeDocument/2006/relationships/queryTable" Target="../queryTables/queryTable31.xml"/><Relationship Id="rId2" Type="http://schemas.openxmlformats.org/officeDocument/2006/relationships/drawing" Target="../drawings/drawing8.xml"/><Relationship Id="rId16" Type="http://schemas.openxmlformats.org/officeDocument/2006/relationships/queryTable" Target="../queryTables/queryTable14.xml"/><Relationship Id="rId20" Type="http://schemas.openxmlformats.org/officeDocument/2006/relationships/queryTable" Target="../queryTables/queryTable18.xml"/><Relationship Id="rId29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24" Type="http://schemas.openxmlformats.org/officeDocument/2006/relationships/queryTable" Target="../queryTables/queryTable22.xml"/><Relationship Id="rId32" Type="http://schemas.openxmlformats.org/officeDocument/2006/relationships/queryTable" Target="../queryTables/queryTable30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23" Type="http://schemas.openxmlformats.org/officeDocument/2006/relationships/queryTable" Target="../queryTables/queryTable21.xml"/><Relationship Id="rId28" Type="http://schemas.openxmlformats.org/officeDocument/2006/relationships/queryTable" Target="../queryTables/queryTable26.xml"/><Relationship Id="rId10" Type="http://schemas.openxmlformats.org/officeDocument/2006/relationships/queryTable" Target="../queryTables/queryTable8.xml"/><Relationship Id="rId19" Type="http://schemas.openxmlformats.org/officeDocument/2006/relationships/queryTable" Target="../queryTables/queryTable17.xml"/><Relationship Id="rId31" Type="http://schemas.openxmlformats.org/officeDocument/2006/relationships/queryTable" Target="../queryTables/queryTable29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Relationship Id="rId22" Type="http://schemas.openxmlformats.org/officeDocument/2006/relationships/queryTable" Target="../queryTables/queryTable20.xml"/><Relationship Id="rId27" Type="http://schemas.openxmlformats.org/officeDocument/2006/relationships/queryTable" Target="../queryTables/queryTable25.xml"/><Relationship Id="rId30" Type="http://schemas.openxmlformats.org/officeDocument/2006/relationships/queryTable" Target="../queryTables/queryTable28.xml"/><Relationship Id="rId8" Type="http://schemas.openxmlformats.org/officeDocument/2006/relationships/queryTable" Target="../queryTables/queryTable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I18"/>
  <sheetViews>
    <sheetView workbookViewId="0"/>
  </sheetViews>
  <sheetFormatPr defaultColWidth="9.140625" defaultRowHeight="12.75" x14ac:dyDescent="0.2"/>
  <cols>
    <col min="1" max="1" width="50.5703125" style="389" customWidth="1"/>
    <col min="2" max="2" width="48.42578125" style="302" customWidth="1"/>
    <col min="3" max="9" width="9.140625" style="302"/>
    <col min="10" max="16384" width="9.140625" style="46"/>
  </cols>
  <sheetData>
    <row r="1" spans="1:1" ht="91.5" customHeight="1" x14ac:dyDescent="0.2">
      <c r="A1" s="388" t="s">
        <v>87</v>
      </c>
    </row>
    <row r="2" spans="1:1" ht="81.75" customHeight="1" x14ac:dyDescent="0.2">
      <c r="A2" s="388" t="s">
        <v>89</v>
      </c>
    </row>
    <row r="3" spans="1:1" ht="70.5" customHeight="1" x14ac:dyDescent="0.2">
      <c r="A3" s="388" t="s">
        <v>90</v>
      </c>
    </row>
    <row r="4" spans="1:1" ht="96.75" customHeight="1" x14ac:dyDescent="0.2">
      <c r="A4" s="388" t="s">
        <v>92</v>
      </c>
    </row>
    <row r="5" spans="1:1" ht="77.25" customHeight="1" x14ac:dyDescent="0.2">
      <c r="A5" s="388" t="s">
        <v>72</v>
      </c>
    </row>
    <row r="6" spans="1:1" ht="88.5" customHeight="1" x14ac:dyDescent="0.2">
      <c r="A6" s="388" t="s">
        <v>94</v>
      </c>
    </row>
    <row r="7" spans="1:1" ht="87.75" customHeight="1" x14ac:dyDescent="0.2">
      <c r="A7" s="389" t="s">
        <v>99</v>
      </c>
    </row>
    <row r="8" spans="1:1" ht="87.75" customHeight="1" x14ac:dyDescent="0.2">
      <c r="A8" s="389" t="str">
        <f>REFERENCIA!A10</f>
        <v>PREFEITURA MUNICIPAL DE ÁGUA CLARA</v>
      </c>
    </row>
    <row r="9" spans="1:1" ht="87" customHeight="1" x14ac:dyDescent="0.2">
      <c r="A9" s="389" t="str">
        <f>REFERENCIA!A11</f>
        <v>PREFEITURA MUNICIPAL DE CAARAPÓ</v>
      </c>
    </row>
    <row r="10" spans="1:1" ht="87" customHeight="1" x14ac:dyDescent="0.2">
      <c r="A10" s="389" t="str">
        <f>REFERENCIA!A12</f>
        <v>PREFEITURA MUNICIPAL DE JARAGUARI</v>
      </c>
    </row>
    <row r="11" spans="1:1" ht="87" customHeight="1" x14ac:dyDescent="0.2">
      <c r="A11" s="389" t="str">
        <f>REFERENCIA!A13</f>
        <v>PREFEITURA MUNICIPAL DE JARDIM</v>
      </c>
    </row>
    <row r="12" spans="1:1" ht="87" customHeight="1" x14ac:dyDescent="0.2">
      <c r="A12" s="389" t="str">
        <f>REFERENCIA!A14</f>
        <v>PREFEITURA MUNICIPAL DE RIBAS DO RIO PARDO</v>
      </c>
    </row>
    <row r="13" spans="1:1" ht="87" customHeight="1" x14ac:dyDescent="0.2">
      <c r="A13" s="389" t="str">
        <f>REFERENCIA!A15</f>
        <v>PREFEITURA MUNICIPAL DE SELVÍRIA</v>
      </c>
    </row>
    <row r="14" spans="1:1" ht="87" customHeight="1" x14ac:dyDescent="0.2">
      <c r="A14" s="389" t="str">
        <f>REFERENCIA!A16</f>
        <v>PREFEITURA MUNICIPAL DE SÃO GABRIEL DO OESTE</v>
      </c>
    </row>
    <row r="15" spans="1:1" ht="87" customHeight="1" x14ac:dyDescent="0.2">
      <c r="A15" s="389" t="str">
        <f>REFERENCIA!A17</f>
        <v>PREFEITURA MUNICIPAL DE MIRANDA</v>
      </c>
    </row>
    <row r="16" spans="1:1" ht="87" customHeight="1" x14ac:dyDescent="0.2">
      <c r="A16" s="389" t="str">
        <f>REFERENCIA!A18</f>
        <v>PREFEITURA MUNICIPAL DE SANTA RITA DO PARDO</v>
      </c>
    </row>
    <row r="17" spans="1:1" ht="87" customHeight="1" x14ac:dyDescent="0.2">
      <c r="A17" s="389" t="str">
        <f>REFERENCIA!A19</f>
        <v>PREFEITURA MUNICIPAL DE SIDROLANDIA</v>
      </c>
    </row>
    <row r="18" spans="1:1" ht="90.75" customHeight="1" x14ac:dyDescent="0.2">
      <c r="A18" s="389" t="str">
        <f>REFERENCIA!A20</f>
        <v>PREFEITURA MUNICIPAL DE IVINHEMA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XFD971"/>
  <sheetViews>
    <sheetView workbookViewId="0"/>
  </sheetViews>
  <sheetFormatPr defaultColWidth="9.140625" defaultRowHeight="19.5" outlineLevelRow="1" x14ac:dyDescent="0.25"/>
  <cols>
    <col min="1" max="1" width="9.140625" style="128"/>
    <col min="2" max="2" width="15.85546875" style="128" customWidth="1"/>
    <col min="3" max="3" width="10.140625" style="128" customWidth="1"/>
    <col min="4" max="4" width="8.5703125" style="128" customWidth="1"/>
    <col min="5" max="5" width="9.5703125" style="128" customWidth="1"/>
    <col min="6" max="6" width="6.140625" style="128" customWidth="1"/>
    <col min="7" max="7" width="12.5703125" style="128" customWidth="1"/>
    <col min="8" max="8" width="65.7109375" style="128" customWidth="1"/>
    <col min="9" max="9" width="11.140625" style="128" customWidth="1"/>
    <col min="10" max="11" width="9.140625" style="128"/>
    <col min="12" max="12" width="44.42578125" style="128" bestFit="1" customWidth="1"/>
    <col min="13" max="13" width="19.28515625" style="128" bestFit="1" customWidth="1"/>
    <col min="14" max="14" width="44.42578125" style="128" bestFit="1" customWidth="1"/>
    <col min="15" max="15" width="53.42578125" style="128" bestFit="1" customWidth="1"/>
    <col min="16" max="16" width="6.85546875" style="128" bestFit="1" customWidth="1"/>
    <col min="17" max="17" width="13.140625" style="128" bestFit="1" customWidth="1"/>
    <col min="18" max="18" width="17.140625" style="128" bestFit="1" customWidth="1"/>
    <col min="19" max="19" width="33.42578125" style="128" bestFit="1" customWidth="1"/>
    <col min="20" max="20" width="11.7109375" style="128" bestFit="1" customWidth="1"/>
    <col min="21" max="21" width="7" style="128" bestFit="1" customWidth="1"/>
    <col min="22" max="22" width="15.28515625" style="128" customWidth="1"/>
    <col min="23" max="23" width="33.42578125" style="128" bestFit="1" customWidth="1"/>
    <col min="24" max="24" width="11.7109375" style="128" bestFit="1" customWidth="1"/>
    <col min="25" max="25" width="10.42578125" style="128" bestFit="1" customWidth="1"/>
    <col min="26" max="26" width="8.42578125" style="128" bestFit="1" customWidth="1"/>
    <col min="27" max="27" width="16.7109375" style="128" bestFit="1" customWidth="1"/>
    <col min="28" max="28" width="27.42578125" style="128" bestFit="1" customWidth="1"/>
    <col min="29" max="29" width="81.140625" style="128" bestFit="1" customWidth="1"/>
    <col min="30" max="30" width="6" style="128" bestFit="1" customWidth="1"/>
    <col min="31" max="31" width="23.28515625" style="128" bestFit="1" customWidth="1"/>
    <col min="32" max="32" width="22.85546875" style="128" bestFit="1" customWidth="1"/>
    <col min="33" max="33" width="81.140625" style="128" bestFit="1" customWidth="1"/>
    <col min="34" max="34" width="6.140625" style="128" bestFit="1" customWidth="1"/>
    <col min="35" max="35" width="9.140625" style="128"/>
    <col min="36" max="36" width="38" style="128" bestFit="1" customWidth="1"/>
    <col min="37" max="37" width="40.85546875" style="128" bestFit="1" customWidth="1"/>
    <col min="38" max="38" width="7.85546875" style="128" bestFit="1" customWidth="1"/>
    <col min="39" max="39" width="53.140625" style="128" bestFit="1" customWidth="1"/>
    <col min="40" max="40" width="14.42578125" style="128" bestFit="1" customWidth="1"/>
    <col min="41" max="41" width="10.28515625" style="128" bestFit="1" customWidth="1"/>
    <col min="42" max="42" width="17.85546875" style="128" bestFit="1" customWidth="1"/>
    <col min="43" max="43" width="24" style="128" bestFit="1" customWidth="1"/>
    <col min="44" max="44" width="15" style="128" bestFit="1" customWidth="1"/>
    <col min="45" max="16384" width="9.140625" style="128"/>
  </cols>
  <sheetData>
    <row r="2" spans="2:7" x14ac:dyDescent="0.25">
      <c r="B2" s="749" t="s">
        <v>232</v>
      </c>
      <c r="C2" s="750"/>
      <c r="D2" s="750"/>
      <c r="E2" s="750"/>
      <c r="F2" s="750"/>
      <c r="G2" s="751"/>
    </row>
    <row r="3" spans="2:7" x14ac:dyDescent="0.25">
      <c r="B3" s="752"/>
      <c r="C3" s="753"/>
      <c r="D3" s="753"/>
      <c r="E3" s="753"/>
      <c r="F3" s="753"/>
      <c r="G3" s="754"/>
    </row>
    <row r="4" spans="2:7" x14ac:dyDescent="0.25">
      <c r="B4" s="752"/>
      <c r="C4" s="753"/>
      <c r="D4" s="753"/>
      <c r="E4" s="753"/>
      <c r="F4" s="753"/>
      <c r="G4" s="754"/>
    </row>
    <row r="5" spans="2:7" x14ac:dyDescent="0.25">
      <c r="B5" s="752"/>
      <c r="C5" s="753"/>
      <c r="D5" s="753"/>
      <c r="E5" s="753"/>
      <c r="F5" s="753"/>
      <c r="G5" s="754"/>
    </row>
    <row r="6" spans="2:7" x14ac:dyDescent="0.25">
      <c r="B6" s="755"/>
      <c r="C6" s="756"/>
      <c r="D6" s="756"/>
      <c r="E6" s="756"/>
      <c r="F6" s="756"/>
      <c r="G6" s="757"/>
    </row>
    <row r="8" spans="2:7" x14ac:dyDescent="0.25">
      <c r="B8" s="129" t="s">
        <v>205</v>
      </c>
      <c r="C8" s="130"/>
      <c r="D8" s="130"/>
      <c r="E8" s="130"/>
      <c r="F8" s="131"/>
      <c r="G8" s="132"/>
    </row>
    <row r="9" spans="2:7" hidden="1" outlineLevel="1" x14ac:dyDescent="0.25">
      <c r="B9" s="128" t="s">
        <v>183</v>
      </c>
      <c r="C9" s="128" t="s">
        <v>40</v>
      </c>
      <c r="D9" s="128" t="s">
        <v>174</v>
      </c>
      <c r="E9" s="128" t="s">
        <v>206</v>
      </c>
    </row>
    <row r="10" spans="2:7" hidden="1" outlineLevel="1" x14ac:dyDescent="0.25">
      <c r="B10" s="128" t="str">
        <f>B126</f>
        <v>P01</v>
      </c>
      <c r="C10" s="128">
        <f>F126</f>
        <v>2</v>
      </c>
      <c r="D10" s="128">
        <f>C126</f>
        <v>1.82</v>
      </c>
      <c r="E10" s="128">
        <f>(D10+(D10/2.5))*C10</f>
        <v>5.0960000000000001</v>
      </c>
    </row>
    <row r="11" spans="2:7" hidden="1" outlineLevel="1" x14ac:dyDescent="0.25">
      <c r="B11" s="128" t="str">
        <f t="shared" ref="B11:B16" si="0">B127</f>
        <v>P02</v>
      </c>
      <c r="C11" s="128">
        <f t="shared" ref="C11:C16" si="1">F127</f>
        <v>2</v>
      </c>
      <c r="D11" s="128">
        <f t="shared" ref="D11:D16" si="2">C127</f>
        <v>0.9</v>
      </c>
      <c r="E11" s="128">
        <f t="shared" ref="E11:E16" si="3">(D11+(D11/2.5))*C11</f>
        <v>2.52</v>
      </c>
    </row>
    <row r="12" spans="2:7" hidden="1" outlineLevel="1" x14ac:dyDescent="0.25">
      <c r="B12" s="128" t="str">
        <f t="shared" si="0"/>
        <v>P03</v>
      </c>
      <c r="C12" s="128">
        <f t="shared" si="1"/>
        <v>10</v>
      </c>
      <c r="D12" s="128">
        <f t="shared" si="2"/>
        <v>0.8</v>
      </c>
      <c r="E12" s="128">
        <f t="shared" si="3"/>
        <v>11.200000000000001</v>
      </c>
    </row>
    <row r="13" spans="2:7" hidden="1" outlineLevel="1" x14ac:dyDescent="0.25">
      <c r="B13" s="128" t="str">
        <f t="shared" si="0"/>
        <v>P04</v>
      </c>
      <c r="C13" s="128">
        <f t="shared" si="1"/>
        <v>4</v>
      </c>
      <c r="D13" s="128">
        <f t="shared" si="2"/>
        <v>0.9</v>
      </c>
      <c r="E13" s="128">
        <f t="shared" si="3"/>
        <v>5.04</v>
      </c>
    </row>
    <row r="14" spans="2:7" hidden="1" outlineLevel="1" x14ac:dyDescent="0.25">
      <c r="B14" s="128" t="str">
        <f t="shared" si="0"/>
        <v>P05</v>
      </c>
      <c r="C14" s="128">
        <f t="shared" si="1"/>
        <v>1</v>
      </c>
      <c r="D14" s="128">
        <f t="shared" si="2"/>
        <v>0.84</v>
      </c>
      <c r="E14" s="128">
        <f t="shared" si="3"/>
        <v>1.1759999999999999</v>
      </c>
    </row>
    <row r="15" spans="2:7" hidden="1" outlineLevel="1" x14ac:dyDescent="0.25">
      <c r="B15" s="128" t="str">
        <f t="shared" si="0"/>
        <v>P06</v>
      </c>
      <c r="C15" s="128">
        <f t="shared" si="1"/>
        <v>5</v>
      </c>
      <c r="D15" s="128">
        <f t="shared" si="2"/>
        <v>0.7</v>
      </c>
      <c r="E15" s="128">
        <f t="shared" si="3"/>
        <v>4.9000000000000004</v>
      </c>
    </row>
    <row r="16" spans="2:7" hidden="1" outlineLevel="1" x14ac:dyDescent="0.25">
      <c r="B16" s="128" t="str">
        <f t="shared" si="0"/>
        <v>P07</v>
      </c>
      <c r="C16" s="128">
        <f t="shared" si="1"/>
        <v>2</v>
      </c>
      <c r="D16" s="128">
        <f t="shared" si="2"/>
        <v>1.2</v>
      </c>
      <c r="E16" s="128">
        <f t="shared" si="3"/>
        <v>3.36</v>
      </c>
    </row>
    <row r="17" spans="2:11 16384:16384" hidden="1" outlineLevel="1" x14ac:dyDescent="0.25">
      <c r="B17" s="128" t="s">
        <v>761</v>
      </c>
      <c r="E17" s="128">
        <f>SUM(E10:E16)</f>
        <v>33.292000000000002</v>
      </c>
    </row>
    <row r="18" spans="2:11 16384:16384" hidden="1" outlineLevel="1" x14ac:dyDescent="0.25"/>
    <row r="19" spans="2:11 16384:16384" hidden="1" outlineLevel="1" x14ac:dyDescent="0.25"/>
    <row r="20" spans="2:11 16384:16384" hidden="1" outlineLevel="1" x14ac:dyDescent="0.25"/>
    <row r="21" spans="2:11 16384:16384" hidden="1" outlineLevel="1" x14ac:dyDescent="0.25"/>
    <row r="22" spans="2:11 16384:16384" hidden="1" outlineLevel="1" x14ac:dyDescent="0.25"/>
    <row r="23" spans="2:11 16384:16384" hidden="1" outlineLevel="1" x14ac:dyDescent="0.25"/>
    <row r="24" spans="2:11 16384:16384" collapsed="1" x14ac:dyDescent="0.25"/>
    <row r="25" spans="2:11 16384:16384" x14ac:dyDescent="0.25">
      <c r="B25" s="129" t="s">
        <v>201</v>
      </c>
      <c r="C25" s="130"/>
      <c r="D25" s="130"/>
      <c r="E25" s="130"/>
      <c r="F25" s="131"/>
      <c r="G25" s="132"/>
    </row>
    <row r="26" spans="2:11 16384:16384" outlineLevel="1" x14ac:dyDescent="0.25">
      <c r="B26" s="128" t="s">
        <v>115</v>
      </c>
      <c r="C26" s="128" t="s">
        <v>195</v>
      </c>
      <c r="D26" s="128" t="s">
        <v>202</v>
      </c>
      <c r="E26" s="128" t="s">
        <v>148</v>
      </c>
      <c r="F26" s="128" t="s">
        <v>176</v>
      </c>
      <c r="G26" s="128" t="s">
        <v>184</v>
      </c>
    </row>
    <row r="27" spans="2:11 16384:16384" outlineLevel="1" x14ac:dyDescent="0.25">
      <c r="B27" s="128">
        <v>3</v>
      </c>
      <c r="C27" s="128">
        <v>2</v>
      </c>
      <c r="D27" s="128">
        <v>1</v>
      </c>
      <c r="E27" s="128" t="s">
        <v>734</v>
      </c>
      <c r="F27" s="128">
        <v>8.08</v>
      </c>
      <c r="G27" s="128">
        <v>11.37</v>
      </c>
      <c r="XFD27" s="128">
        <f t="shared" ref="XFD27:XFD89" si="4">SUM(B27:XFC27)</f>
        <v>25.45</v>
      </c>
    </row>
    <row r="28" spans="2:11 16384:16384" outlineLevel="1" x14ac:dyDescent="0.25">
      <c r="B28" s="128">
        <v>2</v>
      </c>
      <c r="C28" s="128">
        <v>2</v>
      </c>
      <c r="D28" s="128">
        <v>1</v>
      </c>
      <c r="E28" s="128" t="s">
        <v>735</v>
      </c>
      <c r="F28" s="128">
        <v>8.3000000000000007</v>
      </c>
      <c r="G28" s="128">
        <v>12.05</v>
      </c>
      <c r="XFD28" s="128">
        <f t="shared" si="4"/>
        <v>25.35</v>
      </c>
    </row>
    <row r="29" spans="2:11 16384:16384" outlineLevel="1" x14ac:dyDescent="0.25">
      <c r="E29" s="128" t="s">
        <v>736</v>
      </c>
      <c r="F29" s="128">
        <v>55.36</v>
      </c>
      <c r="G29" s="128">
        <v>59.36</v>
      </c>
      <c r="XFD29" s="128">
        <f t="shared" si="4"/>
        <v>114.72</v>
      </c>
    </row>
    <row r="30" spans="2:11 16384:16384" outlineLevel="1" x14ac:dyDescent="0.25">
      <c r="B30" s="128">
        <v>1</v>
      </c>
      <c r="C30" s="128">
        <v>1</v>
      </c>
      <c r="D30" s="128">
        <v>1</v>
      </c>
      <c r="E30" s="128" t="s">
        <v>737</v>
      </c>
      <c r="F30" s="128">
        <v>114.32</v>
      </c>
      <c r="G30" s="128">
        <v>70.73</v>
      </c>
      <c r="XFD30" s="128">
        <f t="shared" si="4"/>
        <v>188.05</v>
      </c>
    </row>
    <row r="31" spans="2:11 16384:16384" outlineLevel="1" x14ac:dyDescent="0.25">
      <c r="B31" s="128">
        <v>3</v>
      </c>
      <c r="C31" s="128">
        <v>4</v>
      </c>
      <c r="D31" s="128">
        <v>1</v>
      </c>
      <c r="E31" s="128" t="s">
        <v>203</v>
      </c>
      <c r="F31" s="128">
        <v>7.23</v>
      </c>
      <c r="G31" s="128">
        <v>10.9</v>
      </c>
      <c r="K31" s="128">
        <f>SUM(F27:F43)/7+SUM(D44:D53)*2</f>
        <v>62.597142857142856</v>
      </c>
      <c r="XFD31" s="128">
        <f t="shared" si="4"/>
        <v>88.727142857142866</v>
      </c>
    </row>
    <row r="32" spans="2:11 16384:16384" outlineLevel="1" x14ac:dyDescent="0.25">
      <c r="B32" s="128">
        <v>3</v>
      </c>
      <c r="C32" s="128">
        <v>2</v>
      </c>
      <c r="D32" s="128">
        <v>1</v>
      </c>
      <c r="E32" s="128" t="s">
        <v>469</v>
      </c>
      <c r="F32" s="128">
        <v>5.44</v>
      </c>
      <c r="G32" s="128">
        <v>9.34</v>
      </c>
      <c r="K32" s="128">
        <f>SUM(D55:D60)*2+SUM(F61:F82)/7</f>
        <v>10</v>
      </c>
      <c r="XFD32" s="128">
        <f t="shared" si="4"/>
        <v>30.78</v>
      </c>
    </row>
    <row r="33" spans="2:11 16384:16384" outlineLevel="1" x14ac:dyDescent="0.25">
      <c r="B33" s="128">
        <v>3</v>
      </c>
      <c r="C33" s="128">
        <v>4</v>
      </c>
      <c r="D33" s="128">
        <v>1</v>
      </c>
      <c r="E33" s="128" t="s">
        <v>351</v>
      </c>
      <c r="F33" s="128">
        <v>2.95</v>
      </c>
      <c r="G33" s="128">
        <v>7.13</v>
      </c>
      <c r="XFD33" s="128">
        <f t="shared" si="4"/>
        <v>18.079999999999998</v>
      </c>
    </row>
    <row r="34" spans="2:11 16384:16384" outlineLevel="1" x14ac:dyDescent="0.25">
      <c r="B34" s="128">
        <v>3</v>
      </c>
      <c r="C34" s="128">
        <v>1</v>
      </c>
      <c r="D34" s="128">
        <v>1</v>
      </c>
      <c r="E34" s="128" t="s">
        <v>738</v>
      </c>
      <c r="F34" s="128">
        <v>19.600000000000001</v>
      </c>
      <c r="G34" s="128">
        <v>17.8</v>
      </c>
      <c r="K34" s="128">
        <f>100</f>
        <v>100</v>
      </c>
      <c r="XFD34" s="128">
        <f t="shared" si="4"/>
        <v>142.4</v>
      </c>
    </row>
    <row r="35" spans="2:11 16384:16384" outlineLevel="1" x14ac:dyDescent="0.25">
      <c r="B35" s="128">
        <v>1</v>
      </c>
      <c r="C35" s="128">
        <v>1</v>
      </c>
      <c r="D35" s="128">
        <v>1</v>
      </c>
      <c r="E35" s="128" t="s">
        <v>739</v>
      </c>
      <c r="F35" s="128">
        <v>9.8000000000000007</v>
      </c>
      <c r="G35" s="128">
        <v>13.8</v>
      </c>
      <c r="XFD35" s="128">
        <f t="shared" si="4"/>
        <v>26.6</v>
      </c>
    </row>
    <row r="36" spans="2:11 16384:16384" outlineLevel="1" x14ac:dyDescent="0.25">
      <c r="B36" s="128">
        <v>5</v>
      </c>
      <c r="C36" s="128">
        <v>2</v>
      </c>
      <c r="E36" s="128" t="s">
        <v>740</v>
      </c>
      <c r="F36" s="128" t="s">
        <v>741</v>
      </c>
      <c r="G36" s="128" t="s">
        <v>741</v>
      </c>
      <c r="XFD36" s="128">
        <f t="shared" si="4"/>
        <v>7</v>
      </c>
    </row>
    <row r="37" spans="2:11 16384:16384" outlineLevel="1" x14ac:dyDescent="0.25">
      <c r="B37" s="128">
        <v>5</v>
      </c>
      <c r="C37" s="128">
        <v>2</v>
      </c>
      <c r="E37" s="128" t="s">
        <v>740</v>
      </c>
      <c r="F37" s="128" t="s">
        <v>741</v>
      </c>
      <c r="G37" s="128" t="s">
        <v>741</v>
      </c>
      <c r="XFD37" s="128">
        <f t="shared" si="4"/>
        <v>7</v>
      </c>
    </row>
    <row r="38" spans="2:11 16384:16384" outlineLevel="1" x14ac:dyDescent="0.25">
      <c r="B38" s="128">
        <v>2</v>
      </c>
      <c r="C38" s="128">
        <v>3</v>
      </c>
      <c r="D38" s="128">
        <v>1</v>
      </c>
      <c r="E38" s="128" t="s">
        <v>742</v>
      </c>
      <c r="F38" s="128">
        <v>13.72</v>
      </c>
      <c r="G38" s="128">
        <v>14.83</v>
      </c>
      <c r="XFD38" s="128">
        <f t="shared" si="4"/>
        <v>34.549999999999997</v>
      </c>
    </row>
    <row r="39" spans="2:11 16384:16384" outlineLevel="1" x14ac:dyDescent="0.25">
      <c r="B39" s="128">
        <v>2</v>
      </c>
      <c r="C39" s="128">
        <v>3</v>
      </c>
      <c r="D39" s="128">
        <v>1</v>
      </c>
      <c r="E39" s="128" t="s">
        <v>743</v>
      </c>
      <c r="F39" s="128">
        <v>10.55</v>
      </c>
      <c r="G39" s="128">
        <v>13.09</v>
      </c>
      <c r="XFD39" s="128">
        <f t="shared" si="4"/>
        <v>29.64</v>
      </c>
    </row>
    <row r="40" spans="2:11 16384:16384" outlineLevel="1" x14ac:dyDescent="0.25">
      <c r="B40" s="128">
        <v>2</v>
      </c>
      <c r="C40" s="128">
        <v>3</v>
      </c>
      <c r="D40" s="128">
        <v>1</v>
      </c>
      <c r="E40" s="128" t="s">
        <v>744</v>
      </c>
      <c r="F40" s="128">
        <v>10.77</v>
      </c>
      <c r="G40" s="128">
        <v>13.28</v>
      </c>
      <c r="XFD40" s="128">
        <f t="shared" si="4"/>
        <v>30.049999999999997</v>
      </c>
    </row>
    <row r="41" spans="2:11 16384:16384" outlineLevel="1" x14ac:dyDescent="0.25">
      <c r="B41" s="128">
        <v>2</v>
      </c>
      <c r="C41" s="128">
        <v>3</v>
      </c>
      <c r="D41" s="128">
        <v>1</v>
      </c>
      <c r="E41" s="128" t="s">
        <v>745</v>
      </c>
      <c r="F41" s="128">
        <v>10.62</v>
      </c>
      <c r="G41" s="128">
        <v>13.13</v>
      </c>
      <c r="XFD41" s="128">
        <f t="shared" si="4"/>
        <v>29.75</v>
      </c>
    </row>
    <row r="42" spans="2:11 16384:16384" outlineLevel="1" x14ac:dyDescent="0.25">
      <c r="B42" s="128">
        <v>2</v>
      </c>
      <c r="C42" s="128">
        <v>3</v>
      </c>
      <c r="D42" s="128">
        <v>1</v>
      </c>
      <c r="E42" s="128" t="s">
        <v>746</v>
      </c>
      <c r="F42" s="128">
        <v>10.61</v>
      </c>
      <c r="G42" s="128">
        <v>13.13</v>
      </c>
      <c r="XFD42" s="128">
        <f t="shared" si="4"/>
        <v>29.740000000000002</v>
      </c>
    </row>
    <row r="43" spans="2:11 16384:16384" outlineLevel="1" x14ac:dyDescent="0.25">
      <c r="B43" s="128">
        <v>2</v>
      </c>
      <c r="C43" s="128">
        <v>3</v>
      </c>
      <c r="D43" s="128">
        <v>1</v>
      </c>
      <c r="E43" s="128" t="s">
        <v>747</v>
      </c>
      <c r="F43" s="128">
        <v>10.83</v>
      </c>
      <c r="G43" s="128">
        <v>13.32</v>
      </c>
      <c r="XFD43" s="128">
        <f t="shared" si="4"/>
        <v>30.15</v>
      </c>
    </row>
    <row r="44" spans="2:11 16384:16384" outlineLevel="1" x14ac:dyDescent="0.25">
      <c r="B44" s="128">
        <v>2</v>
      </c>
      <c r="C44" s="128">
        <v>3</v>
      </c>
      <c r="D44" s="128">
        <v>1</v>
      </c>
      <c r="E44" s="128" t="s">
        <v>748</v>
      </c>
      <c r="F44" s="128">
        <v>10.83</v>
      </c>
      <c r="G44" s="128">
        <v>13.32</v>
      </c>
      <c r="XFD44" s="128">
        <f t="shared" si="4"/>
        <v>30.15</v>
      </c>
    </row>
    <row r="45" spans="2:11 16384:16384" outlineLevel="1" x14ac:dyDescent="0.25">
      <c r="B45" s="128">
        <v>2</v>
      </c>
      <c r="C45" s="128">
        <v>3</v>
      </c>
      <c r="D45" s="128">
        <v>1</v>
      </c>
      <c r="E45" s="128" t="s">
        <v>749</v>
      </c>
      <c r="F45" s="128">
        <v>10.83</v>
      </c>
      <c r="G45" s="128">
        <v>13.32</v>
      </c>
      <c r="XFD45" s="128">
        <f t="shared" si="4"/>
        <v>30.15</v>
      </c>
    </row>
    <row r="46" spans="2:11 16384:16384" outlineLevel="1" x14ac:dyDescent="0.25">
      <c r="B46" s="128">
        <v>2</v>
      </c>
      <c r="C46" s="128">
        <v>3</v>
      </c>
      <c r="D46" s="128">
        <v>1</v>
      </c>
      <c r="E46" s="128" t="s">
        <v>750</v>
      </c>
      <c r="F46" s="128">
        <v>10.83</v>
      </c>
      <c r="G46" s="128">
        <v>13.32</v>
      </c>
      <c r="XFD46" s="128">
        <f t="shared" si="4"/>
        <v>30.15</v>
      </c>
    </row>
    <row r="47" spans="2:11 16384:16384" outlineLevel="1" x14ac:dyDescent="0.25">
      <c r="B47" s="128">
        <v>2</v>
      </c>
      <c r="C47" s="128">
        <v>3</v>
      </c>
      <c r="D47" s="128">
        <v>1</v>
      </c>
      <c r="E47" s="128" t="s">
        <v>751</v>
      </c>
      <c r="F47" s="128">
        <v>10.68</v>
      </c>
      <c r="G47" s="128">
        <v>13.17</v>
      </c>
      <c r="XFD47" s="128">
        <f t="shared" si="4"/>
        <v>29.85</v>
      </c>
    </row>
    <row r="48" spans="2:11 16384:16384" outlineLevel="1" x14ac:dyDescent="0.25">
      <c r="B48" s="128">
        <v>3</v>
      </c>
      <c r="C48" s="128">
        <v>2</v>
      </c>
      <c r="D48" s="128">
        <v>1</v>
      </c>
      <c r="E48" s="128" t="s">
        <v>473</v>
      </c>
      <c r="F48" s="128">
        <v>18.52</v>
      </c>
      <c r="G48" s="128">
        <v>18.3</v>
      </c>
      <c r="XFD48" s="128">
        <f t="shared" si="4"/>
        <v>42.82</v>
      </c>
    </row>
    <row r="49" spans="2:7 16384:16384" outlineLevel="1" x14ac:dyDescent="0.25">
      <c r="B49" s="128">
        <v>3</v>
      </c>
      <c r="C49" s="128">
        <v>2</v>
      </c>
      <c r="D49" s="128">
        <v>1</v>
      </c>
      <c r="E49" s="128" t="s">
        <v>752</v>
      </c>
      <c r="F49" s="128">
        <v>16.48</v>
      </c>
      <c r="G49" s="128">
        <v>17.8</v>
      </c>
      <c r="XFD49" s="128">
        <f t="shared" si="4"/>
        <v>40.28</v>
      </c>
    </row>
    <row r="50" spans="2:7 16384:16384" outlineLevel="1" x14ac:dyDescent="0.25">
      <c r="B50" s="128">
        <v>2</v>
      </c>
      <c r="C50" s="128">
        <v>1</v>
      </c>
      <c r="D50" s="128">
        <v>1</v>
      </c>
      <c r="E50" s="128" t="s">
        <v>753</v>
      </c>
      <c r="F50" s="128">
        <v>17.22</v>
      </c>
      <c r="G50" s="128">
        <v>16.899999999999999</v>
      </c>
      <c r="XFD50" s="128">
        <f t="shared" si="4"/>
        <v>38.119999999999997</v>
      </c>
    </row>
    <row r="51" spans="2:7 16384:16384" outlineLevel="1" x14ac:dyDescent="0.25">
      <c r="B51" s="128">
        <v>3</v>
      </c>
      <c r="C51" s="128">
        <v>2</v>
      </c>
      <c r="D51" s="128">
        <v>1</v>
      </c>
      <c r="E51" s="128" t="s">
        <v>754</v>
      </c>
      <c r="F51" s="128">
        <v>11.93</v>
      </c>
      <c r="G51" s="128">
        <v>14.08</v>
      </c>
      <c r="XFD51" s="128">
        <f t="shared" si="4"/>
        <v>32.01</v>
      </c>
    </row>
    <row r="52" spans="2:7 16384:16384" outlineLevel="1" x14ac:dyDescent="0.25">
      <c r="B52" s="128">
        <v>3</v>
      </c>
      <c r="C52" s="128">
        <v>4</v>
      </c>
      <c r="D52" s="128">
        <v>1</v>
      </c>
      <c r="E52" s="128" t="s">
        <v>478</v>
      </c>
      <c r="F52" s="128">
        <v>6.53</v>
      </c>
      <c r="G52" s="128">
        <v>10.28</v>
      </c>
      <c r="XFD52" s="128">
        <f t="shared" si="4"/>
        <v>24.810000000000002</v>
      </c>
    </row>
    <row r="53" spans="2:7 16384:16384" outlineLevel="1" x14ac:dyDescent="0.25">
      <c r="B53" s="128">
        <v>3</v>
      </c>
      <c r="C53" s="128">
        <v>4</v>
      </c>
      <c r="D53" s="128">
        <v>1</v>
      </c>
      <c r="E53" s="128" t="s">
        <v>755</v>
      </c>
      <c r="F53" s="128">
        <v>8.01</v>
      </c>
      <c r="G53" s="128">
        <v>11.32</v>
      </c>
      <c r="XFD53" s="128">
        <f t="shared" si="4"/>
        <v>27.33</v>
      </c>
    </row>
    <row r="54" spans="2:7 16384:16384" outlineLevel="1" x14ac:dyDescent="0.25">
      <c r="B54" s="128">
        <v>3</v>
      </c>
      <c r="C54" s="128">
        <v>4</v>
      </c>
      <c r="D54" s="128">
        <v>1</v>
      </c>
      <c r="E54" s="128" t="s">
        <v>756</v>
      </c>
      <c r="F54" s="128">
        <v>8.01</v>
      </c>
      <c r="G54" s="128">
        <v>11.32</v>
      </c>
      <c r="XFD54" s="128">
        <f t="shared" si="4"/>
        <v>27.33</v>
      </c>
    </row>
    <row r="55" spans="2:7 16384:16384" outlineLevel="1" x14ac:dyDescent="0.25">
      <c r="B55" s="128">
        <v>3</v>
      </c>
      <c r="C55" s="128">
        <v>4</v>
      </c>
      <c r="D55" s="128">
        <v>1</v>
      </c>
      <c r="E55" s="128" t="s">
        <v>757</v>
      </c>
      <c r="F55" s="128">
        <v>2.99</v>
      </c>
      <c r="G55" s="128">
        <v>7.5</v>
      </c>
      <c r="XFD55" s="128">
        <f t="shared" si="4"/>
        <v>18.490000000000002</v>
      </c>
    </row>
    <row r="56" spans="2:7 16384:16384" outlineLevel="1" x14ac:dyDescent="0.25">
      <c r="B56" s="128">
        <v>3</v>
      </c>
      <c r="C56" s="128">
        <v>4</v>
      </c>
      <c r="D56" s="128">
        <v>1</v>
      </c>
      <c r="E56" s="128" t="s">
        <v>481</v>
      </c>
      <c r="F56" s="128">
        <v>4.13</v>
      </c>
      <c r="G56" s="128">
        <v>8.14</v>
      </c>
      <c r="XFD56" s="128">
        <f t="shared" si="4"/>
        <v>20.27</v>
      </c>
    </row>
    <row r="57" spans="2:7 16384:16384" outlineLevel="1" x14ac:dyDescent="0.25">
      <c r="B57" s="128">
        <v>3</v>
      </c>
      <c r="C57" s="128">
        <v>4</v>
      </c>
      <c r="D57" s="128">
        <v>1</v>
      </c>
      <c r="E57" s="128" t="s">
        <v>758</v>
      </c>
      <c r="F57" s="128">
        <v>5.07</v>
      </c>
      <c r="G57" s="128">
        <v>9.36</v>
      </c>
      <c r="XFD57" s="128">
        <f t="shared" si="4"/>
        <v>22.43</v>
      </c>
    </row>
    <row r="58" spans="2:7 16384:16384" outlineLevel="1" x14ac:dyDescent="0.25">
      <c r="B58" s="128">
        <v>3</v>
      </c>
      <c r="C58" s="128">
        <v>4</v>
      </c>
      <c r="D58" s="128">
        <v>1</v>
      </c>
      <c r="E58" s="128" t="s">
        <v>759</v>
      </c>
      <c r="F58" s="128">
        <v>5.07</v>
      </c>
      <c r="G58" s="128">
        <v>9.36</v>
      </c>
      <c r="XFD58" s="128">
        <f t="shared" si="4"/>
        <v>22.43</v>
      </c>
    </row>
    <row r="59" spans="2:7 16384:16384" outlineLevel="1" x14ac:dyDescent="0.25">
      <c r="B59" s="128">
        <v>3</v>
      </c>
      <c r="C59" s="128">
        <v>4</v>
      </c>
      <c r="D59" s="128">
        <v>1</v>
      </c>
      <c r="E59" s="128" t="s">
        <v>760</v>
      </c>
      <c r="F59" s="128">
        <v>3.66</v>
      </c>
      <c r="G59" s="128">
        <v>7.66</v>
      </c>
      <c r="XFD59" s="128">
        <f t="shared" si="4"/>
        <v>19.32</v>
      </c>
    </row>
    <row r="60" spans="2:7 16384:16384" outlineLevel="1" x14ac:dyDescent="0.25">
      <c r="B60" s="128" t="s">
        <v>204</v>
      </c>
      <c r="F60" s="128">
        <v>448.96</v>
      </c>
      <c r="G60" s="128">
        <v>488.41</v>
      </c>
      <c r="XFD60" s="128">
        <f>SUM(B60:XFC60)</f>
        <v>937.37</v>
      </c>
    </row>
    <row r="61" spans="2:7 16384:16384" outlineLevel="1" x14ac:dyDescent="0.25"/>
    <row r="62" spans="2:7 16384:16384" outlineLevel="1" x14ac:dyDescent="0.25"/>
    <row r="63" spans="2:7 16384:16384" outlineLevel="1" x14ac:dyDescent="0.25"/>
    <row r="64" spans="2:7 16384:16384" outlineLevel="1" x14ac:dyDescent="0.25"/>
    <row r="65" outlineLevel="1" x14ac:dyDescent="0.25"/>
    <row r="66" outlineLevel="1" x14ac:dyDescent="0.25"/>
    <row r="67" outlineLevel="1" x14ac:dyDescent="0.25"/>
    <row r="68" outlineLevel="1" x14ac:dyDescent="0.25"/>
    <row r="69" outlineLevel="1" x14ac:dyDescent="0.25"/>
    <row r="70" outlineLevel="1" x14ac:dyDescent="0.25"/>
    <row r="71" outlineLevel="1" x14ac:dyDescent="0.25"/>
    <row r="72" outlineLevel="1" x14ac:dyDescent="0.25"/>
    <row r="73" outlineLevel="1" x14ac:dyDescent="0.25"/>
    <row r="74" outlineLevel="1" x14ac:dyDescent="0.25"/>
    <row r="75" outlineLevel="1" x14ac:dyDescent="0.25"/>
    <row r="76" outlineLevel="1" x14ac:dyDescent="0.25"/>
    <row r="77" outlineLevel="1" x14ac:dyDescent="0.25"/>
    <row r="78" outlineLevel="1" x14ac:dyDescent="0.25"/>
    <row r="79" outlineLevel="1" x14ac:dyDescent="0.25"/>
    <row r="80" outlineLevel="1" x14ac:dyDescent="0.25"/>
    <row r="81" spans="2:7 16384:16384" outlineLevel="1" x14ac:dyDescent="0.25"/>
    <row r="82" spans="2:7 16384:16384" outlineLevel="1" x14ac:dyDescent="0.25"/>
    <row r="83" spans="2:7 16384:16384" outlineLevel="1" x14ac:dyDescent="0.25"/>
    <row r="84" spans="2:7 16384:16384" outlineLevel="1" x14ac:dyDescent="0.25"/>
    <row r="85" spans="2:7 16384:16384" outlineLevel="1" x14ac:dyDescent="0.25"/>
    <row r="86" spans="2:7 16384:16384" outlineLevel="1" x14ac:dyDescent="0.25"/>
    <row r="87" spans="2:7 16384:16384" outlineLevel="1" x14ac:dyDescent="0.25"/>
    <row r="88" spans="2:7 16384:16384" outlineLevel="1" x14ac:dyDescent="0.25"/>
    <row r="89" spans="2:7 16384:16384" outlineLevel="1" x14ac:dyDescent="0.25">
      <c r="XFD89" s="128">
        <f t="shared" si="4"/>
        <v>0</v>
      </c>
    </row>
    <row r="91" spans="2:7 16384:16384" x14ac:dyDescent="0.25">
      <c r="B91" s="129" t="s">
        <v>214</v>
      </c>
      <c r="C91" s="130"/>
      <c r="D91" s="130"/>
      <c r="E91" s="130"/>
      <c r="F91" s="131"/>
      <c r="G91" s="132"/>
    </row>
    <row r="92" spans="2:7 16384:16384" outlineLevel="1" x14ac:dyDescent="0.25">
      <c r="B92" s="128" t="s">
        <v>183</v>
      </c>
      <c r="C92" s="128" t="s">
        <v>40</v>
      </c>
      <c r="D92" s="128" t="s">
        <v>174</v>
      </c>
      <c r="E92" s="128" t="s">
        <v>215</v>
      </c>
    </row>
    <row r="93" spans="2:7 16384:16384" outlineLevel="1" x14ac:dyDescent="0.25">
      <c r="B93" s="128" t="str">
        <f>B109</f>
        <v>J02</v>
      </c>
      <c r="C93" s="128">
        <f>F109</f>
        <v>3</v>
      </c>
      <c r="D93" s="128">
        <f>C109</f>
        <v>2.5</v>
      </c>
      <c r="E93" s="128">
        <f>(D93+(D93/2.5))*C93</f>
        <v>10.5</v>
      </c>
    </row>
    <row r="94" spans="2:7 16384:16384" outlineLevel="1" x14ac:dyDescent="0.25">
      <c r="B94" s="128" t="str">
        <f>B110</f>
        <v>J03</v>
      </c>
      <c r="C94" s="128">
        <f>F110</f>
        <v>9</v>
      </c>
      <c r="D94" s="128">
        <f>C110</f>
        <v>1.2</v>
      </c>
      <c r="E94" s="128">
        <f>(D94+(D94/2.5))*C94</f>
        <v>15.12</v>
      </c>
    </row>
    <row r="95" spans="2:7 16384:16384" outlineLevel="1" x14ac:dyDescent="0.25">
      <c r="B95" s="128" t="str">
        <f>B111</f>
        <v>J04</v>
      </c>
      <c r="C95" s="128">
        <f>F111</f>
        <v>9</v>
      </c>
      <c r="D95" s="128">
        <f>C111</f>
        <v>1.5</v>
      </c>
      <c r="E95" s="128">
        <f>(D95+(D95/2.5))*C95</f>
        <v>18.900000000000002</v>
      </c>
    </row>
    <row r="96" spans="2:7 16384:16384" outlineLevel="1" x14ac:dyDescent="0.25">
      <c r="B96" s="128" t="str">
        <f>B112</f>
        <v>J05</v>
      </c>
      <c r="C96" s="128">
        <f>F112</f>
        <v>1</v>
      </c>
      <c r="D96" s="128">
        <f>C112</f>
        <v>1</v>
      </c>
      <c r="E96" s="128">
        <f>(D96+(D96/2.5))*C96</f>
        <v>1.4</v>
      </c>
    </row>
    <row r="97" spans="2:8" outlineLevel="1" x14ac:dyDescent="0.25">
      <c r="B97" s="128" t="str">
        <f>B113</f>
        <v>J06</v>
      </c>
      <c r="C97" s="128">
        <f>F113</f>
        <v>3</v>
      </c>
      <c r="D97" s="128">
        <f>C113</f>
        <v>1.6</v>
      </c>
      <c r="E97" s="128">
        <f>(D97+(D97/2.5))*C97</f>
        <v>6.7200000000000006</v>
      </c>
    </row>
    <row r="98" spans="2:8" outlineLevel="1" x14ac:dyDescent="0.25">
      <c r="B98" s="128" t="s">
        <v>761</v>
      </c>
      <c r="E98" s="128">
        <f>SUM(E93:E97)</f>
        <v>52.639999999999993</v>
      </c>
    </row>
    <row r="99" spans="2:8" outlineLevel="1" x14ac:dyDescent="0.25"/>
    <row r="100" spans="2:8" outlineLevel="1" x14ac:dyDescent="0.25"/>
    <row r="101" spans="2:8" outlineLevel="1" x14ac:dyDescent="0.25"/>
    <row r="102" spans="2:8" outlineLevel="1" x14ac:dyDescent="0.25"/>
    <row r="103" spans="2:8" outlineLevel="1" x14ac:dyDescent="0.25"/>
    <row r="104" spans="2:8" outlineLevel="1" x14ac:dyDescent="0.25"/>
    <row r="105" spans="2:8" outlineLevel="1" x14ac:dyDescent="0.25"/>
    <row r="107" spans="2:8" x14ac:dyDescent="0.25">
      <c r="B107" s="129" t="s">
        <v>218</v>
      </c>
      <c r="C107" s="130"/>
      <c r="D107" s="130"/>
      <c r="E107" s="130"/>
      <c r="F107" s="131"/>
      <c r="G107" s="132"/>
    </row>
    <row r="108" spans="2:8" outlineLevel="1" x14ac:dyDescent="0.25">
      <c r="B108" s="128" t="s">
        <v>722</v>
      </c>
      <c r="C108" s="128" t="s">
        <v>174</v>
      </c>
      <c r="D108" s="128" t="s">
        <v>175</v>
      </c>
      <c r="E108" s="128" t="s">
        <v>723</v>
      </c>
      <c r="F108" s="128" t="s">
        <v>189</v>
      </c>
      <c r="G108" s="128" t="s">
        <v>187</v>
      </c>
      <c r="H108" s="128" t="s">
        <v>724</v>
      </c>
    </row>
    <row r="109" spans="2:8" outlineLevel="1" x14ac:dyDescent="0.25">
      <c r="B109" s="128" t="s">
        <v>725</v>
      </c>
      <c r="C109" s="128">
        <v>2.5</v>
      </c>
      <c r="D109" s="128">
        <v>0.6</v>
      </c>
      <c r="E109" s="128">
        <v>2.1</v>
      </c>
      <c r="F109" s="128">
        <v>3</v>
      </c>
      <c r="G109" s="128">
        <v>4.5</v>
      </c>
      <c r="H109" s="128" t="s">
        <v>726</v>
      </c>
    </row>
    <row r="110" spans="2:8" outlineLevel="1" x14ac:dyDescent="0.25">
      <c r="B110" s="128" t="s">
        <v>727</v>
      </c>
      <c r="C110" s="128">
        <v>1.2</v>
      </c>
      <c r="D110" s="128">
        <v>0.6</v>
      </c>
      <c r="E110" s="128">
        <v>2.1</v>
      </c>
      <c r="F110" s="128">
        <v>9</v>
      </c>
      <c r="G110" s="128">
        <v>6.48</v>
      </c>
      <c r="H110" s="128" t="s">
        <v>728</v>
      </c>
    </row>
    <row r="111" spans="2:8" outlineLevel="1" x14ac:dyDescent="0.25">
      <c r="B111" s="128" t="s">
        <v>729</v>
      </c>
      <c r="C111" s="128">
        <v>1.5</v>
      </c>
      <c r="D111" s="128">
        <v>0.6</v>
      </c>
      <c r="E111" s="128">
        <v>2.1</v>
      </c>
      <c r="F111" s="128">
        <v>9</v>
      </c>
      <c r="G111" s="128">
        <v>8.1</v>
      </c>
      <c r="H111" s="128" t="s">
        <v>770</v>
      </c>
    </row>
    <row r="112" spans="2:8" outlineLevel="1" x14ac:dyDescent="0.25">
      <c r="B112" s="128" t="s">
        <v>730</v>
      </c>
      <c r="C112" s="128">
        <v>1</v>
      </c>
      <c r="D112" s="128">
        <v>0.6</v>
      </c>
      <c r="E112" s="128">
        <v>2.1</v>
      </c>
      <c r="F112" s="128">
        <v>1</v>
      </c>
      <c r="G112" s="128">
        <v>0.6</v>
      </c>
      <c r="H112" s="128" t="s">
        <v>731</v>
      </c>
    </row>
    <row r="113" spans="2:9" outlineLevel="1" x14ac:dyDescent="0.25">
      <c r="B113" s="128" t="s">
        <v>732</v>
      </c>
      <c r="C113" s="128">
        <v>1.6</v>
      </c>
      <c r="D113" s="128">
        <v>1.07</v>
      </c>
      <c r="E113" s="128">
        <v>1.1000000000000001</v>
      </c>
      <c r="F113" s="128">
        <v>3</v>
      </c>
      <c r="G113" s="128">
        <v>5.14</v>
      </c>
      <c r="H113" s="128" t="s">
        <v>733</v>
      </c>
    </row>
    <row r="114" spans="2:9" outlineLevel="1" x14ac:dyDescent="0.25"/>
    <row r="115" spans="2:9" outlineLevel="1" x14ac:dyDescent="0.25"/>
    <row r="116" spans="2:9" outlineLevel="1" x14ac:dyDescent="0.25"/>
    <row r="117" spans="2:9" outlineLevel="1" x14ac:dyDescent="0.25"/>
    <row r="118" spans="2:9" outlineLevel="1" x14ac:dyDescent="0.25"/>
    <row r="119" spans="2:9" outlineLevel="1" x14ac:dyDescent="0.25"/>
    <row r="120" spans="2:9" outlineLevel="1" x14ac:dyDescent="0.25"/>
    <row r="121" spans="2:9" outlineLevel="1" x14ac:dyDescent="0.25"/>
    <row r="122" spans="2:9" outlineLevel="1" x14ac:dyDescent="0.25"/>
    <row r="124" spans="2:9" x14ac:dyDescent="0.25">
      <c r="B124" s="129" t="s">
        <v>369</v>
      </c>
      <c r="C124" s="130"/>
      <c r="D124" s="130"/>
      <c r="E124" s="130"/>
      <c r="F124" s="131"/>
      <c r="G124" s="132"/>
    </row>
    <row r="125" spans="2:9" outlineLevel="1" x14ac:dyDescent="0.25">
      <c r="B125" s="128" t="s">
        <v>188</v>
      </c>
      <c r="C125" s="128" t="s">
        <v>174</v>
      </c>
      <c r="D125" s="128" t="s">
        <v>175</v>
      </c>
      <c r="E125" s="128" t="s">
        <v>187</v>
      </c>
      <c r="F125" s="128" t="s">
        <v>189</v>
      </c>
      <c r="G125" s="128" t="s">
        <v>52</v>
      </c>
    </row>
    <row r="126" spans="2:9" outlineLevel="1" x14ac:dyDescent="0.25">
      <c r="B126" s="128" t="s">
        <v>708</v>
      </c>
      <c r="C126" s="128">
        <v>1.82</v>
      </c>
      <c r="D126" s="128">
        <v>2.1</v>
      </c>
      <c r="E126" s="128">
        <v>7.64</v>
      </c>
      <c r="F126" s="128">
        <v>2</v>
      </c>
      <c r="G126" s="128" t="s">
        <v>709</v>
      </c>
      <c r="I126" s="355"/>
    </row>
    <row r="127" spans="2:9" outlineLevel="1" x14ac:dyDescent="0.25">
      <c r="B127" s="128" t="s">
        <v>710</v>
      </c>
      <c r="C127" s="128">
        <v>0.9</v>
      </c>
      <c r="D127" s="128">
        <v>2.1</v>
      </c>
      <c r="E127" s="128">
        <v>3.78</v>
      </c>
      <c r="F127" s="128">
        <v>2</v>
      </c>
      <c r="G127" s="128" t="s">
        <v>711</v>
      </c>
      <c r="I127" s="354"/>
    </row>
    <row r="128" spans="2:9" outlineLevel="1" x14ac:dyDescent="0.25">
      <c r="B128" s="128" t="s">
        <v>712</v>
      </c>
      <c r="C128" s="128">
        <v>0.8</v>
      </c>
      <c r="D128" s="128">
        <v>2.1</v>
      </c>
      <c r="E128" s="128">
        <v>16.8</v>
      </c>
      <c r="F128" s="128">
        <v>10</v>
      </c>
      <c r="G128" s="128" t="s">
        <v>713</v>
      </c>
      <c r="I128" s="354"/>
    </row>
    <row r="129" spans="2:9" outlineLevel="1" x14ac:dyDescent="0.25">
      <c r="B129" s="128" t="s">
        <v>714</v>
      </c>
      <c r="C129" s="128">
        <v>0.9</v>
      </c>
      <c r="D129" s="128">
        <v>2.1</v>
      </c>
      <c r="E129" s="128">
        <v>7.56</v>
      </c>
      <c r="F129" s="128">
        <v>4</v>
      </c>
      <c r="G129" s="128" t="s">
        <v>715</v>
      </c>
      <c r="I129" s="354"/>
    </row>
    <row r="130" spans="2:9" outlineLevel="1" x14ac:dyDescent="0.25">
      <c r="B130" s="128" t="s">
        <v>716</v>
      </c>
      <c r="C130" s="128">
        <v>0.84</v>
      </c>
      <c r="D130" s="128">
        <v>2.1</v>
      </c>
      <c r="E130" s="128">
        <v>1.76</v>
      </c>
      <c r="F130" s="128">
        <v>1</v>
      </c>
      <c r="G130" s="128" t="s">
        <v>717</v>
      </c>
      <c r="I130" s="354"/>
    </row>
    <row r="131" spans="2:9" outlineLevel="1" x14ac:dyDescent="0.25">
      <c r="B131" s="128" t="s">
        <v>718</v>
      </c>
      <c r="C131" s="128">
        <v>0.7</v>
      </c>
      <c r="D131" s="128">
        <v>1.6</v>
      </c>
      <c r="E131" s="128">
        <v>5.6</v>
      </c>
      <c r="F131" s="128">
        <v>5</v>
      </c>
      <c r="G131" s="128" t="s">
        <v>719</v>
      </c>
      <c r="I131" s="354"/>
    </row>
    <row r="132" spans="2:9" outlineLevel="1" x14ac:dyDescent="0.25">
      <c r="B132" s="128" t="s">
        <v>720</v>
      </c>
      <c r="C132" s="128">
        <v>1.2</v>
      </c>
      <c r="D132" s="128">
        <v>2.1</v>
      </c>
      <c r="E132" s="128">
        <v>5.04</v>
      </c>
      <c r="F132" s="128">
        <v>2</v>
      </c>
      <c r="G132" s="128" t="s">
        <v>721</v>
      </c>
      <c r="I132" s="354"/>
    </row>
    <row r="133" spans="2:9" outlineLevel="1" x14ac:dyDescent="0.25">
      <c r="B133" s="128" t="s">
        <v>762</v>
      </c>
      <c r="C133" s="128">
        <v>1.2</v>
      </c>
      <c r="D133" s="128">
        <v>2.1</v>
      </c>
      <c r="E133" s="128">
        <v>5.04</v>
      </c>
      <c r="F133" s="128">
        <v>2</v>
      </c>
      <c r="G133" s="128" t="s">
        <v>763</v>
      </c>
      <c r="I133" s="355"/>
    </row>
    <row r="134" spans="2:9" outlineLevel="1" x14ac:dyDescent="0.25">
      <c r="B134" s="128" t="s">
        <v>764</v>
      </c>
      <c r="C134" s="128">
        <v>0.7</v>
      </c>
      <c r="D134" s="128">
        <v>0.8</v>
      </c>
      <c r="E134" s="128">
        <v>0.56000000000000005</v>
      </c>
      <c r="F134" s="128">
        <v>1</v>
      </c>
      <c r="G134" s="128" t="s">
        <v>765</v>
      </c>
      <c r="I134" s="354"/>
    </row>
    <row r="135" spans="2:9" outlineLevel="1" x14ac:dyDescent="0.25">
      <c r="B135" s="128" t="s">
        <v>660</v>
      </c>
      <c r="C135" s="128">
        <v>1.8</v>
      </c>
      <c r="D135" s="128">
        <v>2.1</v>
      </c>
      <c r="E135" s="128">
        <v>7.56</v>
      </c>
      <c r="F135" s="128">
        <v>2</v>
      </c>
      <c r="G135" s="128" t="s">
        <v>766</v>
      </c>
      <c r="I135" s="354"/>
    </row>
    <row r="136" spans="2:9" outlineLevel="1" x14ac:dyDescent="0.25"/>
    <row r="137" spans="2:9" outlineLevel="1" x14ac:dyDescent="0.25"/>
    <row r="138" spans="2:9" outlineLevel="1" x14ac:dyDescent="0.25"/>
    <row r="139" spans="2:9" outlineLevel="1" x14ac:dyDescent="0.25"/>
    <row r="140" spans="2:9" outlineLevel="1" x14ac:dyDescent="0.25"/>
    <row r="141" spans="2:9" outlineLevel="1" x14ac:dyDescent="0.25"/>
    <row r="142" spans="2:9" outlineLevel="1" x14ac:dyDescent="0.25"/>
    <row r="144" spans="2:9" x14ac:dyDescent="0.25">
      <c r="B144" s="129" t="s">
        <v>378</v>
      </c>
      <c r="C144" s="130"/>
      <c r="D144" s="130"/>
      <c r="E144" s="130"/>
      <c r="F144" s="131"/>
      <c r="G144" s="132"/>
    </row>
    <row r="145" spans="2:4" hidden="1" outlineLevel="1" x14ac:dyDescent="0.25">
      <c r="B145" s="128" t="s">
        <v>148</v>
      </c>
      <c r="C145" s="128" t="s">
        <v>176</v>
      </c>
    </row>
    <row r="146" spans="2:4" hidden="1" outlineLevel="1" x14ac:dyDescent="0.25">
      <c r="B146" s="128" t="s">
        <v>661</v>
      </c>
      <c r="C146" s="128">
        <v>7.88</v>
      </c>
      <c r="D146" s="128" t="e">
        <f>C146='MEMORIA DE CALCULO AT'!#REF!</f>
        <v>#REF!</v>
      </c>
    </row>
    <row r="147" spans="2:4" hidden="1" outlineLevel="1" x14ac:dyDescent="0.25">
      <c r="B147" s="128" t="s">
        <v>662</v>
      </c>
      <c r="C147" s="128">
        <v>9.9</v>
      </c>
      <c r="D147" s="128" t="e">
        <f>C147='MEMORIA DE CALCULO AT'!#REF!</f>
        <v>#REF!</v>
      </c>
    </row>
    <row r="148" spans="2:4" hidden="1" outlineLevel="1" x14ac:dyDescent="0.25">
      <c r="B148" s="128" t="s">
        <v>465</v>
      </c>
      <c r="C148" s="128">
        <v>6.06</v>
      </c>
      <c r="D148" s="128" t="e">
        <f>C148='MEMORIA DE CALCULO AT'!#REF!</f>
        <v>#REF!</v>
      </c>
    </row>
    <row r="149" spans="2:4" hidden="1" outlineLevel="1" x14ac:dyDescent="0.25">
      <c r="B149" s="128" t="s">
        <v>663</v>
      </c>
      <c r="C149" s="128">
        <v>23.19</v>
      </c>
      <c r="D149" s="128" t="e">
        <f>C149='MEMORIA DE CALCULO AT'!#REF!</f>
        <v>#REF!</v>
      </c>
    </row>
    <row r="150" spans="2:4" hidden="1" outlineLevel="1" x14ac:dyDescent="0.25">
      <c r="B150" s="128" t="s">
        <v>664</v>
      </c>
      <c r="C150" s="128">
        <v>33.11</v>
      </c>
      <c r="D150" s="128" t="e">
        <f>C150='MEMORIA DE CALCULO AT'!#REF!</f>
        <v>#REF!</v>
      </c>
    </row>
    <row r="151" spans="2:4" hidden="1" outlineLevel="1" x14ac:dyDescent="0.25">
      <c r="B151" s="128" t="s">
        <v>665</v>
      </c>
      <c r="C151" s="128">
        <v>22.35</v>
      </c>
      <c r="D151" s="128" t="e">
        <f>C151='MEMORIA DE CALCULO AT'!#REF!</f>
        <v>#REF!</v>
      </c>
    </row>
    <row r="152" spans="2:4" hidden="1" outlineLevel="1" x14ac:dyDescent="0.25">
      <c r="B152" s="128" t="s">
        <v>666</v>
      </c>
      <c r="C152" s="128">
        <v>108.83</v>
      </c>
      <c r="D152" s="128" t="e">
        <f>C152='MEMORIA DE CALCULO AT'!#REF!</f>
        <v>#REF!</v>
      </c>
    </row>
    <row r="153" spans="2:4" hidden="1" outlineLevel="1" x14ac:dyDescent="0.25">
      <c r="B153" s="128" t="s">
        <v>667</v>
      </c>
      <c r="C153" s="128">
        <v>8.64</v>
      </c>
      <c r="D153" s="128" t="e">
        <f>C153='MEMORIA DE CALCULO AT'!#REF!</f>
        <v>#REF!</v>
      </c>
    </row>
    <row r="154" spans="2:4" hidden="1" outlineLevel="1" x14ac:dyDescent="0.25">
      <c r="B154" s="128" t="s">
        <v>668</v>
      </c>
      <c r="C154" s="128">
        <v>8.64</v>
      </c>
      <c r="D154" s="128" t="e">
        <f>C154='MEMORIA DE CALCULO AT'!#REF!</f>
        <v>#REF!</v>
      </c>
    </row>
    <row r="155" spans="2:4" hidden="1" outlineLevel="1" x14ac:dyDescent="0.25">
      <c r="B155" s="128" t="s">
        <v>203</v>
      </c>
      <c r="C155" s="128">
        <v>11.16</v>
      </c>
      <c r="D155" s="128" t="e">
        <f>C155='MEMORIA DE CALCULO AT'!#REF!</f>
        <v>#REF!</v>
      </c>
    </row>
    <row r="156" spans="2:4" hidden="1" outlineLevel="1" x14ac:dyDescent="0.25">
      <c r="B156" s="128" t="s">
        <v>203</v>
      </c>
      <c r="C156" s="128">
        <v>4.5</v>
      </c>
      <c r="D156" s="128" t="e">
        <f>C156='MEMORIA DE CALCULO AT'!#REF!</f>
        <v>#REF!</v>
      </c>
    </row>
    <row r="157" spans="2:4" hidden="1" outlineLevel="1" x14ac:dyDescent="0.25">
      <c r="B157" s="128" t="s">
        <v>669</v>
      </c>
      <c r="C157" s="128">
        <v>8.14</v>
      </c>
      <c r="D157" s="128" t="e">
        <f>C157='MEMORIA DE CALCULO AT'!#REF!</f>
        <v>#REF!</v>
      </c>
    </row>
    <row r="158" spans="2:4" hidden="1" outlineLevel="1" x14ac:dyDescent="0.25">
      <c r="B158" s="128" t="s">
        <v>469</v>
      </c>
      <c r="C158" s="128">
        <v>11.02</v>
      </c>
      <c r="D158" s="128" t="e">
        <f>C158='MEMORIA DE CALCULO AT'!#REF!</f>
        <v>#REF!</v>
      </c>
    </row>
    <row r="159" spans="2:4" hidden="1" outlineLevel="1" x14ac:dyDescent="0.25">
      <c r="B159" s="128" t="s">
        <v>351</v>
      </c>
      <c r="C159" s="128">
        <v>2.86</v>
      </c>
      <c r="D159" s="128" t="e">
        <f>C159='MEMORIA DE CALCULO AT'!#REF!</f>
        <v>#REF!</v>
      </c>
    </row>
    <row r="160" spans="2:4" hidden="1" outlineLevel="1" x14ac:dyDescent="0.25">
      <c r="B160" s="128" t="s">
        <v>351</v>
      </c>
      <c r="C160" s="128">
        <v>2.2599999999999998</v>
      </c>
      <c r="D160" s="128" t="e">
        <f>C160='MEMORIA DE CALCULO AT'!#REF!</f>
        <v>#REF!</v>
      </c>
    </row>
    <row r="161" spans="2:4" hidden="1" outlineLevel="1" x14ac:dyDescent="0.25">
      <c r="B161" s="128" t="s">
        <v>470</v>
      </c>
      <c r="C161" s="128">
        <v>2.2000000000000002</v>
      </c>
      <c r="D161" s="128" t="e">
        <f>C161='MEMORIA DE CALCULO AT'!#REF!</f>
        <v>#REF!</v>
      </c>
    </row>
    <row r="162" spans="2:4" hidden="1" outlineLevel="1" x14ac:dyDescent="0.25">
      <c r="B162" s="128" t="s">
        <v>670</v>
      </c>
      <c r="C162" s="128">
        <v>1.0900000000000001</v>
      </c>
      <c r="D162" s="128" t="e">
        <f>C162='MEMORIA DE CALCULO AT'!#REF!</f>
        <v>#REF!</v>
      </c>
    </row>
    <row r="163" spans="2:4" hidden="1" outlineLevel="1" x14ac:dyDescent="0.25">
      <c r="B163" s="128" t="s">
        <v>471</v>
      </c>
      <c r="C163" s="128">
        <v>10.8</v>
      </c>
      <c r="D163" s="128" t="e">
        <f>C163='MEMORIA DE CALCULO AT'!#REF!</f>
        <v>#REF!</v>
      </c>
    </row>
    <row r="164" spans="2:4" hidden="1" outlineLevel="1" x14ac:dyDescent="0.25">
      <c r="B164" s="128" t="s">
        <v>471</v>
      </c>
      <c r="C164" s="128">
        <v>10.8</v>
      </c>
      <c r="D164" s="128" t="e">
        <f>C164='MEMORIA DE CALCULO AT'!#REF!</f>
        <v>#REF!</v>
      </c>
    </row>
    <row r="165" spans="2:4" hidden="1" outlineLevel="1" x14ac:dyDescent="0.25">
      <c r="B165" s="128" t="s">
        <v>471</v>
      </c>
      <c r="C165" s="128">
        <v>10.5</v>
      </c>
      <c r="D165" s="128" t="e">
        <f>C165='MEMORIA DE CALCULO AT'!#REF!</f>
        <v>#REF!</v>
      </c>
    </row>
    <row r="166" spans="2:4" hidden="1" outlineLevel="1" x14ac:dyDescent="0.25">
      <c r="B166" s="128" t="s">
        <v>471</v>
      </c>
      <c r="C166" s="128">
        <v>10.8</v>
      </c>
      <c r="D166" s="128" t="e">
        <f>C166='MEMORIA DE CALCULO AT'!#REF!</f>
        <v>#REF!</v>
      </c>
    </row>
    <row r="167" spans="2:4" hidden="1" outlineLevel="1" x14ac:dyDescent="0.25">
      <c r="B167" s="128" t="s">
        <v>471</v>
      </c>
      <c r="C167" s="128">
        <v>10.8</v>
      </c>
      <c r="D167" s="128" t="e">
        <f>C167='MEMORIA DE CALCULO AT'!#REF!</f>
        <v>#REF!</v>
      </c>
    </row>
    <row r="168" spans="2:4" hidden="1" outlineLevel="1" x14ac:dyDescent="0.25">
      <c r="B168" s="128" t="s">
        <v>471</v>
      </c>
      <c r="C168" s="128">
        <v>10.95</v>
      </c>
      <c r="D168" s="128" t="e">
        <f>C168='MEMORIA DE CALCULO AT'!#REF!</f>
        <v>#REF!</v>
      </c>
    </row>
    <row r="169" spans="2:4" hidden="1" outlineLevel="1" x14ac:dyDescent="0.25">
      <c r="B169" s="128" t="s">
        <v>471</v>
      </c>
      <c r="C169" s="128">
        <v>10.65</v>
      </c>
      <c r="D169" s="128" t="e">
        <f>C169='MEMORIA DE CALCULO AT'!#REF!</f>
        <v>#REF!</v>
      </c>
    </row>
    <row r="170" spans="2:4" hidden="1" outlineLevel="1" x14ac:dyDescent="0.25">
      <c r="B170" s="128" t="s">
        <v>471</v>
      </c>
      <c r="C170" s="128">
        <v>10.65</v>
      </c>
      <c r="D170" s="128" t="e">
        <f>C170='MEMORIA DE CALCULO AT'!#REF!</f>
        <v>#REF!</v>
      </c>
    </row>
    <row r="171" spans="2:4" hidden="1" outlineLevel="1" x14ac:dyDescent="0.25">
      <c r="B171" s="128" t="s">
        <v>471</v>
      </c>
      <c r="C171" s="128">
        <v>10.96</v>
      </c>
      <c r="D171" s="128" t="e">
        <f>C171='MEMORIA DE CALCULO AT'!#REF!</f>
        <v>#REF!</v>
      </c>
    </row>
    <row r="172" spans="2:4" hidden="1" outlineLevel="1" x14ac:dyDescent="0.25">
      <c r="B172" s="128" t="s">
        <v>472</v>
      </c>
      <c r="C172" s="128">
        <v>14.35</v>
      </c>
      <c r="D172" s="128" t="e">
        <f>C172='MEMORIA DE CALCULO AT'!#REF!</f>
        <v>#REF!</v>
      </c>
    </row>
    <row r="173" spans="2:4" hidden="1" outlineLevel="1" x14ac:dyDescent="0.25">
      <c r="B173" s="128" t="s">
        <v>473</v>
      </c>
      <c r="C173" s="128">
        <v>21.54</v>
      </c>
      <c r="D173" s="128" t="e">
        <f>C173='MEMORIA DE CALCULO AT'!#REF!</f>
        <v>#REF!</v>
      </c>
    </row>
    <row r="174" spans="2:4" hidden="1" outlineLevel="1" x14ac:dyDescent="0.25">
      <c r="B174" s="128" t="s">
        <v>474</v>
      </c>
      <c r="C174" s="128">
        <v>6.7</v>
      </c>
      <c r="D174" s="128" t="e">
        <f>C174='MEMORIA DE CALCULO AT'!#REF!</f>
        <v>#REF!</v>
      </c>
    </row>
    <row r="175" spans="2:4" hidden="1" outlineLevel="1" x14ac:dyDescent="0.25">
      <c r="B175" s="128" t="s">
        <v>474</v>
      </c>
      <c r="C175" s="128">
        <v>6.7</v>
      </c>
      <c r="D175" s="128" t="e">
        <f>C175='MEMORIA DE CALCULO AT'!#REF!</f>
        <v>#REF!</v>
      </c>
    </row>
    <row r="176" spans="2:4" hidden="1" outlineLevel="1" x14ac:dyDescent="0.25">
      <c r="B176" s="128" t="s">
        <v>474</v>
      </c>
      <c r="C176" s="128">
        <v>6.7</v>
      </c>
      <c r="D176" s="128" t="e">
        <f>C176='MEMORIA DE CALCULO AT'!#REF!</f>
        <v>#REF!</v>
      </c>
    </row>
    <row r="177" spans="2:4" hidden="1" outlineLevel="1" x14ac:dyDescent="0.25">
      <c r="B177" s="128" t="s">
        <v>474</v>
      </c>
      <c r="C177" s="128">
        <v>6.7</v>
      </c>
      <c r="D177" s="128" t="e">
        <f>C177='MEMORIA DE CALCULO AT'!#REF!</f>
        <v>#REF!</v>
      </c>
    </row>
    <row r="178" spans="2:4" hidden="1" outlineLevel="1" x14ac:dyDescent="0.25">
      <c r="B178" s="128" t="s">
        <v>474</v>
      </c>
      <c r="C178" s="128">
        <v>6.7</v>
      </c>
      <c r="D178" s="128" t="e">
        <f>C178='MEMORIA DE CALCULO AT'!#REF!</f>
        <v>#REF!</v>
      </c>
    </row>
    <row r="179" spans="2:4" hidden="1" outlineLevel="1" x14ac:dyDescent="0.25">
      <c r="B179" s="128" t="s">
        <v>474</v>
      </c>
      <c r="C179" s="128">
        <v>6.7</v>
      </c>
      <c r="D179" s="128" t="e">
        <f>C179='MEMORIA DE CALCULO AT'!#REF!</f>
        <v>#REF!</v>
      </c>
    </row>
    <row r="180" spans="2:4" hidden="1" outlineLevel="1" x14ac:dyDescent="0.25">
      <c r="B180" s="128" t="s">
        <v>632</v>
      </c>
      <c r="C180" s="128">
        <v>16.559999999999999</v>
      </c>
      <c r="D180" s="128" t="e">
        <f>C180='MEMORIA DE CALCULO AT'!#REF!</f>
        <v>#REF!</v>
      </c>
    </row>
    <row r="181" spans="2:4" hidden="1" outlineLevel="1" x14ac:dyDescent="0.25">
      <c r="B181" s="128" t="s">
        <v>671</v>
      </c>
      <c r="C181" s="128">
        <v>6.55</v>
      </c>
      <c r="D181" s="128" t="e">
        <f>C181='MEMORIA DE CALCULO AT'!#REF!</f>
        <v>#REF!</v>
      </c>
    </row>
    <row r="182" spans="2:4" hidden="1" outlineLevel="1" x14ac:dyDescent="0.25">
      <c r="B182" s="128" t="s">
        <v>672</v>
      </c>
      <c r="C182" s="128">
        <v>10.51</v>
      </c>
      <c r="D182" s="128" t="e">
        <f>C182='MEMORIA DE CALCULO AT'!#REF!</f>
        <v>#REF!</v>
      </c>
    </row>
    <row r="183" spans="2:4" hidden="1" outlineLevel="1" x14ac:dyDescent="0.25">
      <c r="B183" s="128" t="s">
        <v>475</v>
      </c>
      <c r="C183" s="128">
        <v>7.97</v>
      </c>
      <c r="D183" s="128" t="e">
        <f>C183='MEMORIA DE CALCULO AT'!#REF!</f>
        <v>#REF!</v>
      </c>
    </row>
    <row r="184" spans="2:4" hidden="1" outlineLevel="1" x14ac:dyDescent="0.25">
      <c r="B184" s="128" t="s">
        <v>377</v>
      </c>
      <c r="C184" s="128">
        <v>7.2</v>
      </c>
      <c r="D184" s="128" t="e">
        <f>C184='MEMORIA DE CALCULO AT'!#REF!</f>
        <v>#REF!</v>
      </c>
    </row>
    <row r="185" spans="2:4" hidden="1" outlineLevel="1" x14ac:dyDescent="0.25">
      <c r="B185" s="128" t="s">
        <v>673</v>
      </c>
      <c r="C185" s="128">
        <v>10.45</v>
      </c>
      <c r="D185" s="128" t="e">
        <f>C185='MEMORIA DE CALCULO AT'!#REF!</f>
        <v>#REF!</v>
      </c>
    </row>
    <row r="186" spans="2:4" hidden="1" outlineLevel="1" x14ac:dyDescent="0.25">
      <c r="B186" s="128" t="s">
        <v>476</v>
      </c>
      <c r="C186" s="128">
        <v>31.86</v>
      </c>
      <c r="D186" s="128" t="e">
        <f>C186='MEMORIA DE CALCULO AT'!#REF!</f>
        <v>#REF!</v>
      </c>
    </row>
    <row r="187" spans="2:4" hidden="1" outlineLevel="1" x14ac:dyDescent="0.25">
      <c r="B187" s="128" t="s">
        <v>477</v>
      </c>
      <c r="C187" s="128">
        <v>10.51</v>
      </c>
      <c r="D187" s="128" t="e">
        <f>C187='MEMORIA DE CALCULO AT'!#REF!</f>
        <v>#REF!</v>
      </c>
    </row>
    <row r="188" spans="2:4" hidden="1" outlineLevel="1" x14ac:dyDescent="0.25">
      <c r="B188" s="128" t="s">
        <v>674</v>
      </c>
      <c r="C188" s="128">
        <v>8.64</v>
      </c>
      <c r="D188" s="128" t="e">
        <f>C188='MEMORIA DE CALCULO AT'!#REF!</f>
        <v>#REF!</v>
      </c>
    </row>
    <row r="189" spans="2:4" hidden="1" outlineLevel="1" x14ac:dyDescent="0.25">
      <c r="B189" s="128" t="s">
        <v>478</v>
      </c>
      <c r="C189" s="128">
        <v>4.3</v>
      </c>
      <c r="D189" s="128" t="e">
        <f>C189='MEMORIA DE CALCULO AT'!#REF!</f>
        <v>#REF!</v>
      </c>
    </row>
    <row r="190" spans="2:4" hidden="1" outlineLevel="1" x14ac:dyDescent="0.25">
      <c r="B190" s="128" t="s">
        <v>478</v>
      </c>
      <c r="C190" s="128">
        <v>5.87</v>
      </c>
      <c r="D190" s="128" t="e">
        <f>C190='MEMORIA DE CALCULO AT'!#REF!</f>
        <v>#REF!</v>
      </c>
    </row>
    <row r="191" spans="2:4" hidden="1" outlineLevel="1" x14ac:dyDescent="0.25">
      <c r="B191" s="128" t="s">
        <v>479</v>
      </c>
      <c r="C191" s="128">
        <v>10.76</v>
      </c>
      <c r="D191" s="128" t="e">
        <f>C191='MEMORIA DE CALCULO AT'!#REF!</f>
        <v>#REF!</v>
      </c>
    </row>
    <row r="192" spans="2:4" hidden="1" outlineLevel="1" x14ac:dyDescent="0.25">
      <c r="B192" s="128" t="s">
        <v>480</v>
      </c>
      <c r="C192" s="128">
        <v>10.77</v>
      </c>
      <c r="D192" s="128" t="e">
        <f>C192='MEMORIA DE CALCULO AT'!#REF!</f>
        <v>#REF!</v>
      </c>
    </row>
    <row r="193" spans="2:4" hidden="1" outlineLevel="1" x14ac:dyDescent="0.25">
      <c r="B193" s="128" t="s">
        <v>675</v>
      </c>
      <c r="C193" s="128">
        <v>3.35</v>
      </c>
      <c r="D193" s="128" t="e">
        <f>C193='MEMORIA DE CALCULO AT'!#REF!</f>
        <v>#REF!</v>
      </c>
    </row>
    <row r="194" spans="2:4" hidden="1" outlineLevel="1" x14ac:dyDescent="0.25">
      <c r="B194" s="128" t="s">
        <v>676</v>
      </c>
      <c r="C194" s="128">
        <v>3.35</v>
      </c>
      <c r="D194" s="128" t="e">
        <f>C194='MEMORIA DE CALCULO AT'!#REF!</f>
        <v>#REF!</v>
      </c>
    </row>
    <row r="195" spans="2:4" hidden="1" outlineLevel="1" x14ac:dyDescent="0.25">
      <c r="B195" s="128" t="s">
        <v>481</v>
      </c>
      <c r="C195" s="128">
        <v>5.43</v>
      </c>
      <c r="D195" s="128" t="e">
        <f>C195='MEMORIA DE CALCULO AT'!#REF!</f>
        <v>#REF!</v>
      </c>
    </row>
    <row r="196" spans="2:4" hidden="1" outlineLevel="1" x14ac:dyDescent="0.25">
      <c r="B196" s="128" t="s">
        <v>482</v>
      </c>
      <c r="C196" s="128">
        <v>5.0999999999999996</v>
      </c>
      <c r="D196" s="128" t="e">
        <f>C196='MEMORIA DE CALCULO AT'!#REF!</f>
        <v>#REF!</v>
      </c>
    </row>
    <row r="197" spans="2:4" hidden="1" outlineLevel="1" x14ac:dyDescent="0.25">
      <c r="B197" s="128" t="s">
        <v>483</v>
      </c>
      <c r="C197" s="128">
        <v>5.0999999999999996</v>
      </c>
      <c r="D197" s="128" t="e">
        <f>C197='MEMORIA DE CALCULO AT'!#REF!</f>
        <v>#REF!</v>
      </c>
    </row>
    <row r="198" spans="2:4" hidden="1" outlineLevel="1" x14ac:dyDescent="0.25">
      <c r="B198" s="128" t="s">
        <v>677</v>
      </c>
      <c r="C198" s="128">
        <v>3.4</v>
      </c>
      <c r="D198" s="128" t="e">
        <f>C198='MEMORIA DE CALCULO AT'!#REF!</f>
        <v>#REF!</v>
      </c>
    </row>
    <row r="199" spans="2:4" hidden="1" outlineLevel="1" x14ac:dyDescent="0.25">
      <c r="B199" s="128" t="s">
        <v>678</v>
      </c>
      <c r="C199" s="128">
        <v>3.4</v>
      </c>
      <c r="D199" s="128" t="e">
        <f>C199='MEMORIA DE CALCULO AT'!#REF!</f>
        <v>#REF!</v>
      </c>
    </row>
    <row r="200" spans="2:4" hidden="1" outlineLevel="1" x14ac:dyDescent="0.25">
      <c r="B200" s="128" t="s">
        <v>679</v>
      </c>
      <c r="C200" s="128">
        <v>4.21</v>
      </c>
      <c r="D200" s="128" t="e">
        <f>C200='MEMORIA DE CALCULO AT'!#REF!</f>
        <v>#REF!</v>
      </c>
    </row>
    <row r="201" spans="2:4" hidden="1" outlineLevel="1" x14ac:dyDescent="0.25">
      <c r="B201" s="128" t="s">
        <v>680</v>
      </c>
      <c r="C201" s="128">
        <v>6.59</v>
      </c>
      <c r="D201" s="128" t="e">
        <f>C201='MEMORIA DE CALCULO AT'!#REF!</f>
        <v>#REF!</v>
      </c>
    </row>
    <row r="202" spans="2:4" hidden="1" outlineLevel="1" x14ac:dyDescent="0.25">
      <c r="B202" s="128" t="s">
        <v>254</v>
      </c>
      <c r="C202" s="128">
        <v>21.03</v>
      </c>
      <c r="D202" s="128" t="e">
        <f>C202='MEMORIA DE CALCULO AT'!#REF!</f>
        <v>#REF!</v>
      </c>
    </row>
    <row r="203" spans="2:4" hidden="1" outlineLevel="1" x14ac:dyDescent="0.25">
      <c r="B203" s="128" t="s">
        <v>683</v>
      </c>
      <c r="C203" s="128">
        <v>647.71</v>
      </c>
    </row>
    <row r="204" spans="2:4" hidden="1" outlineLevel="1" x14ac:dyDescent="0.25"/>
    <row r="205" spans="2:4" hidden="1" outlineLevel="1" x14ac:dyDescent="0.25"/>
    <row r="206" spans="2:4" hidden="1" outlineLevel="1" x14ac:dyDescent="0.25"/>
    <row r="207" spans="2:4" hidden="1" outlineLevel="1" x14ac:dyDescent="0.25"/>
    <row r="208" spans="2:4" hidden="1" outlineLevel="1" x14ac:dyDescent="0.25"/>
    <row r="209" spans="2:7" hidden="1" outlineLevel="1" x14ac:dyDescent="0.25"/>
    <row r="210" spans="2:7" hidden="1" outlineLevel="1" x14ac:dyDescent="0.25"/>
    <row r="211" spans="2:7" hidden="1" outlineLevel="1" x14ac:dyDescent="0.25"/>
    <row r="212" spans="2:7" hidden="1" outlineLevel="1" x14ac:dyDescent="0.25"/>
    <row r="213" spans="2:7" hidden="1" outlineLevel="1" x14ac:dyDescent="0.25"/>
    <row r="214" spans="2:7" hidden="1" outlineLevel="1" x14ac:dyDescent="0.25"/>
    <row r="215" spans="2:7" hidden="1" outlineLevel="1" x14ac:dyDescent="0.25"/>
    <row r="216" spans="2:7" hidden="1" outlineLevel="1" x14ac:dyDescent="0.25"/>
    <row r="217" spans="2:7" hidden="1" outlineLevel="1" x14ac:dyDescent="0.25"/>
    <row r="218" spans="2:7" hidden="1" outlineLevel="1" x14ac:dyDescent="0.25"/>
    <row r="219" spans="2:7" hidden="1" outlineLevel="1" x14ac:dyDescent="0.25"/>
    <row r="220" spans="2:7" collapsed="1" x14ac:dyDescent="0.25"/>
    <row r="221" spans="2:7" x14ac:dyDescent="0.25">
      <c r="B221" s="129" t="s">
        <v>240</v>
      </c>
      <c r="C221" s="130"/>
      <c r="D221" s="130"/>
      <c r="E221" s="130"/>
      <c r="F221" s="131"/>
      <c r="G221" s="132"/>
    </row>
    <row r="222" spans="2:7" hidden="1" outlineLevel="1" x14ac:dyDescent="0.25">
      <c r="B222" s="128" t="s">
        <v>148</v>
      </c>
      <c r="C222" s="128" t="s">
        <v>176</v>
      </c>
    </row>
    <row r="223" spans="2:7" hidden="1" outlineLevel="1" x14ac:dyDescent="0.25">
      <c r="B223" s="128" t="s">
        <v>661</v>
      </c>
      <c r="C223" s="128">
        <v>7.88</v>
      </c>
    </row>
    <row r="224" spans="2:7" hidden="1" outlineLevel="1" x14ac:dyDescent="0.25">
      <c r="B224" s="128" t="s">
        <v>662</v>
      </c>
      <c r="C224" s="128">
        <v>9.9</v>
      </c>
    </row>
    <row r="225" spans="2:3" hidden="1" outlineLevel="1" x14ac:dyDescent="0.25">
      <c r="B225" s="128" t="s">
        <v>465</v>
      </c>
      <c r="C225" s="128">
        <v>6.06</v>
      </c>
    </row>
    <row r="226" spans="2:3" hidden="1" outlineLevel="1" x14ac:dyDescent="0.25">
      <c r="B226" s="128" t="s">
        <v>663</v>
      </c>
      <c r="C226" s="128">
        <v>23.19</v>
      </c>
    </row>
    <row r="227" spans="2:3" hidden="1" outlineLevel="1" x14ac:dyDescent="0.25">
      <c r="B227" s="128" t="s">
        <v>664</v>
      </c>
      <c r="C227" s="128">
        <v>33.11</v>
      </c>
    </row>
    <row r="228" spans="2:3" hidden="1" outlineLevel="1" x14ac:dyDescent="0.25">
      <c r="B228" s="128" t="s">
        <v>665</v>
      </c>
      <c r="C228" s="128">
        <v>22.35</v>
      </c>
    </row>
    <row r="229" spans="2:3" hidden="1" outlineLevel="1" x14ac:dyDescent="0.25">
      <c r="B229" s="128" t="s">
        <v>666</v>
      </c>
      <c r="C229" s="128">
        <v>108.83</v>
      </c>
    </row>
    <row r="230" spans="2:3" hidden="1" outlineLevel="1" x14ac:dyDescent="0.25">
      <c r="B230" s="128" t="s">
        <v>667</v>
      </c>
      <c r="C230" s="128">
        <v>8.64</v>
      </c>
    </row>
    <row r="231" spans="2:3" hidden="1" outlineLevel="1" x14ac:dyDescent="0.25">
      <c r="B231" s="128" t="s">
        <v>668</v>
      </c>
      <c r="C231" s="128">
        <v>8.64</v>
      </c>
    </row>
    <row r="232" spans="2:3" hidden="1" outlineLevel="1" x14ac:dyDescent="0.25">
      <c r="B232" s="128" t="s">
        <v>203</v>
      </c>
      <c r="C232" s="128">
        <v>11.16</v>
      </c>
    </row>
    <row r="233" spans="2:3" hidden="1" outlineLevel="1" x14ac:dyDescent="0.25">
      <c r="B233" s="128" t="s">
        <v>203</v>
      </c>
      <c r="C233" s="128">
        <v>4.5</v>
      </c>
    </row>
    <row r="234" spans="2:3" hidden="1" outlineLevel="1" x14ac:dyDescent="0.25">
      <c r="B234" s="128" t="s">
        <v>669</v>
      </c>
      <c r="C234" s="128">
        <v>8.14</v>
      </c>
    </row>
    <row r="235" spans="2:3" hidden="1" outlineLevel="1" x14ac:dyDescent="0.25">
      <c r="B235" s="128" t="s">
        <v>469</v>
      </c>
      <c r="C235" s="128">
        <v>11.02</v>
      </c>
    </row>
    <row r="236" spans="2:3" hidden="1" outlineLevel="1" x14ac:dyDescent="0.25">
      <c r="B236" s="128" t="s">
        <v>351</v>
      </c>
      <c r="C236" s="128">
        <v>2.86</v>
      </c>
    </row>
    <row r="237" spans="2:3" hidden="1" outlineLevel="1" x14ac:dyDescent="0.25">
      <c r="B237" s="128" t="s">
        <v>351</v>
      </c>
      <c r="C237" s="128">
        <v>2.2599999999999998</v>
      </c>
    </row>
    <row r="238" spans="2:3" hidden="1" outlineLevel="1" x14ac:dyDescent="0.25">
      <c r="B238" s="128" t="s">
        <v>470</v>
      </c>
      <c r="C238" s="128">
        <v>2.2000000000000002</v>
      </c>
    </row>
    <row r="239" spans="2:3" hidden="1" outlineLevel="1" x14ac:dyDescent="0.25">
      <c r="B239" s="128" t="s">
        <v>670</v>
      </c>
      <c r="C239" s="128">
        <v>1.0900000000000001</v>
      </c>
    </row>
    <row r="240" spans="2:3" hidden="1" outlineLevel="1" x14ac:dyDescent="0.25">
      <c r="B240" s="128" t="s">
        <v>471</v>
      </c>
      <c r="C240" s="128">
        <v>10.8</v>
      </c>
    </row>
    <row r="241" spans="2:3" hidden="1" outlineLevel="1" x14ac:dyDescent="0.25">
      <c r="B241" s="128" t="s">
        <v>471</v>
      </c>
      <c r="C241" s="128">
        <v>10.8</v>
      </c>
    </row>
    <row r="242" spans="2:3" hidden="1" outlineLevel="1" x14ac:dyDescent="0.25">
      <c r="B242" s="128" t="s">
        <v>471</v>
      </c>
      <c r="C242" s="128">
        <v>10.5</v>
      </c>
    </row>
    <row r="243" spans="2:3" hidden="1" outlineLevel="1" x14ac:dyDescent="0.25">
      <c r="B243" s="128" t="s">
        <v>471</v>
      </c>
      <c r="C243" s="128">
        <v>10.8</v>
      </c>
    </row>
    <row r="244" spans="2:3" hidden="1" outlineLevel="1" x14ac:dyDescent="0.25">
      <c r="B244" s="128" t="s">
        <v>471</v>
      </c>
      <c r="C244" s="128">
        <v>10.8</v>
      </c>
    </row>
    <row r="245" spans="2:3" hidden="1" outlineLevel="1" x14ac:dyDescent="0.25">
      <c r="B245" s="128" t="s">
        <v>471</v>
      </c>
      <c r="C245" s="128">
        <v>10.95</v>
      </c>
    </row>
    <row r="246" spans="2:3" hidden="1" outlineLevel="1" x14ac:dyDescent="0.25">
      <c r="B246" s="128" t="s">
        <v>471</v>
      </c>
      <c r="C246" s="128">
        <v>10.65</v>
      </c>
    </row>
    <row r="247" spans="2:3" hidden="1" outlineLevel="1" x14ac:dyDescent="0.25">
      <c r="B247" s="128" t="s">
        <v>471</v>
      </c>
      <c r="C247" s="128">
        <v>10.65</v>
      </c>
    </row>
    <row r="248" spans="2:3" hidden="1" outlineLevel="1" x14ac:dyDescent="0.25">
      <c r="B248" s="128" t="s">
        <v>471</v>
      </c>
      <c r="C248" s="128">
        <v>10.96</v>
      </c>
    </row>
    <row r="249" spans="2:3" hidden="1" outlineLevel="1" x14ac:dyDescent="0.25">
      <c r="B249" s="128" t="s">
        <v>472</v>
      </c>
      <c r="C249" s="128">
        <v>14.35</v>
      </c>
    </row>
    <row r="250" spans="2:3" hidden="1" outlineLevel="1" x14ac:dyDescent="0.25">
      <c r="B250" s="128" t="s">
        <v>473</v>
      </c>
      <c r="C250" s="128">
        <v>21.54</v>
      </c>
    </row>
    <row r="251" spans="2:3" hidden="1" outlineLevel="1" x14ac:dyDescent="0.25">
      <c r="B251" s="128" t="s">
        <v>474</v>
      </c>
      <c r="C251" s="128">
        <v>6.7</v>
      </c>
    </row>
    <row r="252" spans="2:3" hidden="1" outlineLevel="1" x14ac:dyDescent="0.25">
      <c r="B252" s="128" t="s">
        <v>474</v>
      </c>
      <c r="C252" s="128">
        <v>6.7</v>
      </c>
    </row>
    <row r="253" spans="2:3" hidden="1" outlineLevel="1" x14ac:dyDescent="0.25">
      <c r="B253" s="128" t="s">
        <v>474</v>
      </c>
      <c r="C253" s="128">
        <v>6.7</v>
      </c>
    </row>
    <row r="254" spans="2:3" hidden="1" outlineLevel="1" x14ac:dyDescent="0.25">
      <c r="B254" s="128" t="s">
        <v>474</v>
      </c>
      <c r="C254" s="128">
        <v>6.7</v>
      </c>
    </row>
    <row r="255" spans="2:3" hidden="1" outlineLevel="1" x14ac:dyDescent="0.25">
      <c r="B255" s="128" t="s">
        <v>474</v>
      </c>
      <c r="C255" s="128">
        <v>6.7</v>
      </c>
    </row>
    <row r="256" spans="2:3" hidden="1" outlineLevel="1" x14ac:dyDescent="0.25">
      <c r="B256" s="128" t="s">
        <v>474</v>
      </c>
      <c r="C256" s="128">
        <v>6.7</v>
      </c>
    </row>
    <row r="257" spans="2:3" hidden="1" outlineLevel="1" x14ac:dyDescent="0.25">
      <c r="B257" s="128" t="s">
        <v>632</v>
      </c>
      <c r="C257" s="128">
        <v>16.559999999999999</v>
      </c>
    </row>
    <row r="258" spans="2:3" hidden="1" outlineLevel="1" x14ac:dyDescent="0.25">
      <c r="B258" s="128" t="s">
        <v>671</v>
      </c>
      <c r="C258" s="128">
        <v>6.55</v>
      </c>
    </row>
    <row r="259" spans="2:3" hidden="1" outlineLevel="1" x14ac:dyDescent="0.25">
      <c r="B259" s="128" t="s">
        <v>672</v>
      </c>
      <c r="C259" s="128">
        <v>10.51</v>
      </c>
    </row>
    <row r="260" spans="2:3" hidden="1" outlineLevel="1" x14ac:dyDescent="0.25">
      <c r="B260" s="128" t="s">
        <v>475</v>
      </c>
      <c r="C260" s="128">
        <v>7.97</v>
      </c>
    </row>
    <row r="261" spans="2:3" hidden="1" outlineLevel="1" x14ac:dyDescent="0.25">
      <c r="B261" s="128" t="s">
        <v>377</v>
      </c>
      <c r="C261" s="128">
        <v>7.2</v>
      </c>
    </row>
    <row r="262" spans="2:3" hidden="1" outlineLevel="1" x14ac:dyDescent="0.25">
      <c r="B262" s="128" t="s">
        <v>673</v>
      </c>
      <c r="C262" s="128">
        <v>10.45</v>
      </c>
    </row>
    <row r="263" spans="2:3" hidden="1" outlineLevel="1" x14ac:dyDescent="0.25">
      <c r="B263" s="128" t="s">
        <v>476</v>
      </c>
      <c r="C263" s="128">
        <v>31.86</v>
      </c>
    </row>
    <row r="264" spans="2:3" hidden="1" outlineLevel="1" x14ac:dyDescent="0.25">
      <c r="B264" s="128" t="s">
        <v>477</v>
      </c>
      <c r="C264" s="128">
        <v>10.51</v>
      </c>
    </row>
    <row r="265" spans="2:3" hidden="1" outlineLevel="1" x14ac:dyDescent="0.25">
      <c r="B265" s="128" t="s">
        <v>674</v>
      </c>
      <c r="C265" s="128">
        <v>8.64</v>
      </c>
    </row>
    <row r="266" spans="2:3" hidden="1" outlineLevel="1" x14ac:dyDescent="0.25">
      <c r="B266" s="128" t="s">
        <v>478</v>
      </c>
      <c r="C266" s="128">
        <v>4.3</v>
      </c>
    </row>
    <row r="267" spans="2:3" hidden="1" outlineLevel="1" x14ac:dyDescent="0.25">
      <c r="B267" s="128" t="s">
        <v>478</v>
      </c>
      <c r="C267" s="128">
        <v>5.87</v>
      </c>
    </row>
    <row r="268" spans="2:3" hidden="1" outlineLevel="1" x14ac:dyDescent="0.25">
      <c r="B268" s="128" t="s">
        <v>479</v>
      </c>
      <c r="C268" s="128">
        <v>10.76</v>
      </c>
    </row>
    <row r="269" spans="2:3" hidden="1" outlineLevel="1" x14ac:dyDescent="0.25">
      <c r="B269" s="128" t="s">
        <v>480</v>
      </c>
      <c r="C269" s="128">
        <v>10.77</v>
      </c>
    </row>
    <row r="270" spans="2:3" hidden="1" outlineLevel="1" x14ac:dyDescent="0.25">
      <c r="B270" s="128" t="s">
        <v>675</v>
      </c>
      <c r="C270" s="128">
        <v>3.35</v>
      </c>
    </row>
    <row r="271" spans="2:3" hidden="1" outlineLevel="1" x14ac:dyDescent="0.25">
      <c r="B271" s="128" t="s">
        <v>676</v>
      </c>
      <c r="C271" s="128">
        <v>3.35</v>
      </c>
    </row>
    <row r="272" spans="2:3" hidden="1" outlineLevel="1" x14ac:dyDescent="0.25">
      <c r="B272" s="128" t="s">
        <v>481</v>
      </c>
      <c r="C272" s="128">
        <v>5.43</v>
      </c>
    </row>
    <row r="273" spans="2:3" hidden="1" outlineLevel="1" x14ac:dyDescent="0.25">
      <c r="B273" s="128" t="s">
        <v>482</v>
      </c>
      <c r="C273" s="128">
        <v>5.0999999999999996</v>
      </c>
    </row>
    <row r="274" spans="2:3" hidden="1" outlineLevel="1" x14ac:dyDescent="0.25">
      <c r="B274" s="128" t="s">
        <v>483</v>
      </c>
      <c r="C274" s="128">
        <v>5.0999999999999996</v>
      </c>
    </row>
    <row r="275" spans="2:3" hidden="1" outlineLevel="1" x14ac:dyDescent="0.25">
      <c r="B275" s="128" t="s">
        <v>677</v>
      </c>
      <c r="C275" s="128">
        <v>3.4</v>
      </c>
    </row>
    <row r="276" spans="2:3" hidden="1" outlineLevel="1" x14ac:dyDescent="0.25">
      <c r="B276" s="128" t="s">
        <v>678</v>
      </c>
      <c r="C276" s="128">
        <v>3.4</v>
      </c>
    </row>
    <row r="277" spans="2:3" hidden="1" outlineLevel="1" x14ac:dyDescent="0.25">
      <c r="B277" s="128" t="s">
        <v>679</v>
      </c>
      <c r="C277" s="128">
        <v>4.21</v>
      </c>
    </row>
    <row r="278" spans="2:3" hidden="1" outlineLevel="1" x14ac:dyDescent="0.25">
      <c r="B278" s="128" t="s">
        <v>680</v>
      </c>
      <c r="C278" s="128">
        <v>6.59</v>
      </c>
    </row>
    <row r="279" spans="2:3" hidden="1" outlineLevel="1" x14ac:dyDescent="0.25">
      <c r="B279" s="128" t="s">
        <v>254</v>
      </c>
      <c r="C279" s="128">
        <v>21.03</v>
      </c>
    </row>
    <row r="280" spans="2:3" hidden="1" outlineLevel="1" x14ac:dyDescent="0.25">
      <c r="B280" s="128" t="s">
        <v>683</v>
      </c>
      <c r="C280" s="128">
        <v>647.71</v>
      </c>
    </row>
    <row r="281" spans="2:3" hidden="1" outlineLevel="1" x14ac:dyDescent="0.25"/>
    <row r="282" spans="2:3" hidden="1" outlineLevel="1" x14ac:dyDescent="0.25"/>
    <row r="283" spans="2:3" hidden="1" outlineLevel="1" x14ac:dyDescent="0.25"/>
    <row r="284" spans="2:3" hidden="1" outlineLevel="1" x14ac:dyDescent="0.25"/>
    <row r="285" spans="2:3" hidden="1" outlineLevel="1" x14ac:dyDescent="0.25"/>
    <row r="286" spans="2:3" hidden="1" outlineLevel="1" x14ac:dyDescent="0.25"/>
    <row r="287" spans="2:3" hidden="1" outlineLevel="1" x14ac:dyDescent="0.25"/>
    <row r="288" spans="2:3" collapsed="1" x14ac:dyDescent="0.25"/>
    <row r="289" spans="2:7" x14ac:dyDescent="0.25">
      <c r="B289" s="129" t="s">
        <v>223</v>
      </c>
      <c r="C289" s="130"/>
      <c r="D289" s="130"/>
      <c r="E289" s="130"/>
      <c r="F289" s="131"/>
      <c r="G289" s="132"/>
    </row>
    <row r="290" spans="2:7" hidden="1" outlineLevel="1" x14ac:dyDescent="0.25">
      <c r="B290" s="128" t="s">
        <v>148</v>
      </c>
      <c r="C290" s="128" t="s">
        <v>176</v>
      </c>
      <c r="D290" s="128" t="s">
        <v>184</v>
      </c>
      <c r="E290" s="128" t="s">
        <v>224</v>
      </c>
      <c r="F290" s="128" t="s">
        <v>238</v>
      </c>
      <c r="G290" s="128" t="s">
        <v>187</v>
      </c>
    </row>
    <row r="291" spans="2:7" hidden="1" outlineLevel="1" x14ac:dyDescent="0.25">
      <c r="B291" s="128" t="s">
        <v>661</v>
      </c>
      <c r="C291" s="128">
        <v>7.88</v>
      </c>
      <c r="D291" s="128">
        <v>11.5</v>
      </c>
      <c r="E291" s="128">
        <v>20.71</v>
      </c>
      <c r="F291" s="128">
        <v>2.2400000000000002</v>
      </c>
      <c r="G291" s="128">
        <v>18.47</v>
      </c>
    </row>
    <row r="292" spans="2:7" hidden="1" outlineLevel="1" x14ac:dyDescent="0.25">
      <c r="B292" s="128" t="s">
        <v>203</v>
      </c>
      <c r="C292" s="128">
        <v>4.5</v>
      </c>
      <c r="D292" s="128">
        <v>8.5</v>
      </c>
      <c r="E292" s="128">
        <v>15.31</v>
      </c>
      <c r="F292" s="128">
        <v>1.44</v>
      </c>
      <c r="G292" s="128">
        <v>13.87</v>
      </c>
    </row>
    <row r="293" spans="2:7" hidden="1" outlineLevel="1" x14ac:dyDescent="0.25">
      <c r="B293" s="128" t="s">
        <v>203</v>
      </c>
      <c r="C293" s="128">
        <v>11.16</v>
      </c>
      <c r="D293" s="128">
        <v>13.57</v>
      </c>
      <c r="E293" s="128">
        <v>24.43</v>
      </c>
      <c r="F293" s="128">
        <v>1.26</v>
      </c>
      <c r="G293" s="128">
        <v>23.17</v>
      </c>
    </row>
    <row r="294" spans="2:7" hidden="1" outlineLevel="1" x14ac:dyDescent="0.25">
      <c r="B294" s="128" t="s">
        <v>351</v>
      </c>
      <c r="C294" s="128">
        <v>2.2599999999999998</v>
      </c>
      <c r="D294" s="128">
        <v>6.4</v>
      </c>
      <c r="E294" s="128">
        <v>11.52</v>
      </c>
      <c r="F294" s="128">
        <v>1.44</v>
      </c>
      <c r="G294" s="128">
        <v>10.08</v>
      </c>
    </row>
    <row r="295" spans="2:7" hidden="1" outlineLevel="1" x14ac:dyDescent="0.25">
      <c r="B295" s="128" t="s">
        <v>351</v>
      </c>
      <c r="C295" s="128">
        <v>2.86</v>
      </c>
      <c r="D295" s="128">
        <v>6.98</v>
      </c>
      <c r="E295" s="128">
        <v>12.57</v>
      </c>
      <c r="F295" s="128">
        <v>1.44</v>
      </c>
      <c r="G295" s="128">
        <v>11.13</v>
      </c>
    </row>
    <row r="296" spans="2:7" hidden="1" outlineLevel="1" x14ac:dyDescent="0.25">
      <c r="B296" s="128" t="s">
        <v>470</v>
      </c>
      <c r="C296" s="128">
        <v>2.2000000000000002</v>
      </c>
      <c r="D296" s="128">
        <v>6.2</v>
      </c>
      <c r="E296" s="128">
        <v>11.16</v>
      </c>
      <c r="F296" s="128">
        <v>1.44</v>
      </c>
      <c r="G296" s="128">
        <v>9.7200000000000006</v>
      </c>
    </row>
    <row r="297" spans="2:7" hidden="1" outlineLevel="1" x14ac:dyDescent="0.25">
      <c r="B297" s="128" t="s">
        <v>473</v>
      </c>
      <c r="C297" s="128">
        <v>21.54</v>
      </c>
      <c r="D297" s="128">
        <v>19.3</v>
      </c>
      <c r="E297" s="128">
        <v>34.75</v>
      </c>
      <c r="F297" s="128">
        <v>4.32</v>
      </c>
      <c r="G297" s="128">
        <v>30.43</v>
      </c>
    </row>
    <row r="298" spans="2:7" hidden="1" outlineLevel="1" x14ac:dyDescent="0.25">
      <c r="B298" s="128" t="s">
        <v>672</v>
      </c>
      <c r="C298" s="128">
        <v>10.51</v>
      </c>
      <c r="D298" s="128">
        <v>13</v>
      </c>
      <c r="E298" s="128">
        <v>23.41</v>
      </c>
      <c r="F298" s="128">
        <v>2.2400000000000002</v>
      </c>
      <c r="G298" s="128">
        <v>21.17</v>
      </c>
    </row>
    <row r="299" spans="2:7" hidden="1" outlineLevel="1" x14ac:dyDescent="0.25">
      <c r="B299" s="128" t="s">
        <v>479</v>
      </c>
      <c r="C299" s="128">
        <v>10.76</v>
      </c>
      <c r="D299" s="128">
        <v>13.37</v>
      </c>
      <c r="E299" s="128">
        <v>24.07</v>
      </c>
      <c r="F299" s="128">
        <v>1.26</v>
      </c>
      <c r="G299" s="128">
        <v>22.81</v>
      </c>
    </row>
    <row r="300" spans="2:7" hidden="1" outlineLevel="1" x14ac:dyDescent="0.25">
      <c r="B300" s="128" t="s">
        <v>480</v>
      </c>
      <c r="C300" s="128">
        <v>10.77</v>
      </c>
      <c r="D300" s="128">
        <v>13.37</v>
      </c>
      <c r="E300" s="128">
        <v>24.07</v>
      </c>
      <c r="F300" s="128">
        <v>1.26</v>
      </c>
      <c r="G300" s="128">
        <v>22.81</v>
      </c>
    </row>
    <row r="301" spans="2:7" hidden="1" outlineLevel="1" x14ac:dyDescent="0.25">
      <c r="B301" s="128" t="s">
        <v>693</v>
      </c>
      <c r="C301" s="128">
        <v>3.35</v>
      </c>
      <c r="D301" s="128">
        <v>7.35</v>
      </c>
      <c r="E301" s="128">
        <v>13.23</v>
      </c>
      <c r="F301" s="128">
        <v>1.44</v>
      </c>
      <c r="G301" s="128">
        <v>11.79</v>
      </c>
    </row>
    <row r="302" spans="2:7" hidden="1" outlineLevel="1" x14ac:dyDescent="0.25">
      <c r="B302" s="128" t="s">
        <v>694</v>
      </c>
      <c r="C302" s="128">
        <v>3.35</v>
      </c>
      <c r="D302" s="128">
        <v>7.35</v>
      </c>
      <c r="E302" s="128">
        <v>13.23</v>
      </c>
      <c r="F302" s="128">
        <v>1.44</v>
      </c>
      <c r="G302" s="128">
        <v>11.79</v>
      </c>
    </row>
    <row r="303" spans="2:7" hidden="1" outlineLevel="1" x14ac:dyDescent="0.25">
      <c r="B303" s="128" t="s">
        <v>481</v>
      </c>
      <c r="C303" s="128">
        <v>5.43</v>
      </c>
      <c r="D303" s="128">
        <v>9.58</v>
      </c>
      <c r="E303" s="128">
        <v>17.25</v>
      </c>
      <c r="F303" s="128">
        <v>1.62</v>
      </c>
      <c r="G303" s="128">
        <v>15.63</v>
      </c>
    </row>
    <row r="304" spans="2:7" hidden="1" outlineLevel="1" x14ac:dyDescent="0.25">
      <c r="B304" s="128" t="s">
        <v>482</v>
      </c>
      <c r="C304" s="128">
        <v>5.0999999999999996</v>
      </c>
      <c r="D304" s="128">
        <v>9.4</v>
      </c>
      <c r="E304" s="128">
        <v>16.920000000000002</v>
      </c>
      <c r="F304" s="128">
        <v>1.62</v>
      </c>
      <c r="G304" s="128">
        <v>15.3</v>
      </c>
    </row>
    <row r="305" spans="2:7" hidden="1" outlineLevel="1" x14ac:dyDescent="0.25">
      <c r="B305" s="128" t="s">
        <v>483</v>
      </c>
      <c r="C305" s="128">
        <v>5.0999999999999996</v>
      </c>
      <c r="D305" s="128">
        <v>9.4</v>
      </c>
      <c r="E305" s="128">
        <v>16.920000000000002</v>
      </c>
      <c r="F305" s="128">
        <v>1.62</v>
      </c>
      <c r="G305" s="128">
        <v>15.3</v>
      </c>
    </row>
    <row r="306" spans="2:7" hidden="1" outlineLevel="1" x14ac:dyDescent="0.25">
      <c r="B306" s="128" t="s">
        <v>677</v>
      </c>
      <c r="C306" s="128">
        <v>3.4</v>
      </c>
      <c r="D306" s="128">
        <v>7.4</v>
      </c>
      <c r="E306" s="128">
        <v>13.32</v>
      </c>
      <c r="F306" s="128">
        <v>1.62</v>
      </c>
      <c r="G306" s="128">
        <v>11.7</v>
      </c>
    </row>
    <row r="307" spans="2:7" hidden="1" outlineLevel="1" x14ac:dyDescent="0.25">
      <c r="B307" s="128" t="s">
        <v>678</v>
      </c>
      <c r="C307" s="128">
        <v>3.4</v>
      </c>
      <c r="D307" s="128">
        <v>7.4</v>
      </c>
      <c r="E307" s="128">
        <v>13.32</v>
      </c>
      <c r="F307" s="128">
        <v>1.62</v>
      </c>
      <c r="G307" s="128">
        <v>11.7</v>
      </c>
    </row>
    <row r="308" spans="2:7" hidden="1" outlineLevel="1" x14ac:dyDescent="0.25">
      <c r="B308" s="128" t="s">
        <v>679</v>
      </c>
      <c r="C308" s="128">
        <v>4.21</v>
      </c>
      <c r="D308" s="128">
        <v>8.35</v>
      </c>
      <c r="E308" s="128">
        <v>15.03</v>
      </c>
      <c r="F308" s="128">
        <v>1.62</v>
      </c>
      <c r="G308" s="128">
        <v>13.41</v>
      </c>
    </row>
    <row r="309" spans="2:7" hidden="1" outlineLevel="1" x14ac:dyDescent="0.25">
      <c r="B309" s="128" t="s">
        <v>204</v>
      </c>
      <c r="G309" s="128">
        <v>290.27</v>
      </c>
    </row>
    <row r="310" spans="2:7" hidden="1" outlineLevel="1" x14ac:dyDescent="0.25"/>
    <row r="311" spans="2:7" hidden="1" outlineLevel="1" x14ac:dyDescent="0.25"/>
    <row r="312" spans="2:7" hidden="1" outlineLevel="1" x14ac:dyDescent="0.25"/>
    <row r="313" spans="2:7" hidden="1" outlineLevel="1" x14ac:dyDescent="0.25"/>
    <row r="314" spans="2:7" collapsed="1" x14ac:dyDescent="0.25"/>
    <row r="315" spans="2:7" x14ac:dyDescent="0.25">
      <c r="B315" s="129" t="s">
        <v>484</v>
      </c>
      <c r="C315" s="130"/>
      <c r="D315" s="130"/>
      <c r="E315" s="130"/>
      <c r="F315" s="131"/>
      <c r="G315" s="132"/>
    </row>
    <row r="316" spans="2:7" hidden="1" outlineLevel="1" x14ac:dyDescent="0.25">
      <c r="B316" s="128" t="s">
        <v>148</v>
      </c>
      <c r="C316" s="128" t="s">
        <v>235</v>
      </c>
      <c r="D316" s="128" t="s">
        <v>175</v>
      </c>
      <c r="E316" s="128" t="s">
        <v>695</v>
      </c>
      <c r="F316" s="128" t="s">
        <v>186</v>
      </c>
      <c r="G316" s="128" t="s">
        <v>237</v>
      </c>
    </row>
    <row r="317" spans="2:7" hidden="1" outlineLevel="1" x14ac:dyDescent="0.25">
      <c r="B317" s="128" t="s">
        <v>663</v>
      </c>
      <c r="C317" s="128">
        <v>30.07</v>
      </c>
      <c r="D317" s="128">
        <v>3</v>
      </c>
      <c r="E317" s="128">
        <v>90.22</v>
      </c>
      <c r="F317" s="128">
        <v>21.928000000000001</v>
      </c>
      <c r="G317" s="128">
        <v>68.3</v>
      </c>
    </row>
    <row r="318" spans="2:7" hidden="1" outlineLevel="1" x14ac:dyDescent="0.25">
      <c r="B318" s="128" t="s">
        <v>664</v>
      </c>
      <c r="C318" s="128">
        <v>37.450000000000003</v>
      </c>
      <c r="D318" s="128">
        <v>3</v>
      </c>
      <c r="E318" s="128">
        <v>112.35</v>
      </c>
      <c r="F318" s="128">
        <v>54.3</v>
      </c>
      <c r="G318" s="128">
        <v>58.05</v>
      </c>
    </row>
    <row r="319" spans="2:7" hidden="1" outlineLevel="1" x14ac:dyDescent="0.25">
      <c r="B319" s="128" t="s">
        <v>666</v>
      </c>
      <c r="C319" s="128">
        <v>73.92</v>
      </c>
      <c r="D319" s="128">
        <v>3</v>
      </c>
      <c r="E319" s="128">
        <v>221.76</v>
      </c>
      <c r="F319" s="128">
        <v>102.87</v>
      </c>
      <c r="G319" s="128">
        <v>118.89</v>
      </c>
    </row>
    <row r="320" spans="2:7" hidden="1" outlineLevel="1" x14ac:dyDescent="0.25">
      <c r="B320" s="128" t="s">
        <v>667</v>
      </c>
      <c r="C320" s="128">
        <v>11.8</v>
      </c>
      <c r="D320" s="128">
        <v>3</v>
      </c>
      <c r="E320" s="128">
        <v>35.4</v>
      </c>
      <c r="F320" s="128">
        <v>1.68</v>
      </c>
      <c r="G320" s="128">
        <v>33.72</v>
      </c>
    </row>
    <row r="321" spans="2:7" hidden="1" outlineLevel="1" x14ac:dyDescent="0.25">
      <c r="B321" s="128" t="s">
        <v>670</v>
      </c>
      <c r="C321" s="128">
        <v>4.45</v>
      </c>
      <c r="D321" s="128">
        <v>3</v>
      </c>
      <c r="E321" s="128">
        <v>13.35</v>
      </c>
      <c r="F321" s="128">
        <v>4.5</v>
      </c>
      <c r="G321" s="128">
        <v>8.85</v>
      </c>
    </row>
    <row r="322" spans="2:7" hidden="1" outlineLevel="1" x14ac:dyDescent="0.25">
      <c r="B322" s="128" t="s">
        <v>471</v>
      </c>
      <c r="C322" s="128">
        <v>13.3</v>
      </c>
      <c r="D322" s="128">
        <v>3</v>
      </c>
      <c r="E322" s="128">
        <v>39.9</v>
      </c>
      <c r="F322" s="128">
        <v>17.45</v>
      </c>
      <c r="G322" s="128">
        <v>22.45</v>
      </c>
    </row>
    <row r="323" spans="2:7" hidden="1" outlineLevel="1" x14ac:dyDescent="0.25">
      <c r="B323" s="128" t="s">
        <v>471</v>
      </c>
      <c r="C323" s="128">
        <v>13.3</v>
      </c>
      <c r="D323" s="128">
        <v>3</v>
      </c>
      <c r="E323" s="128">
        <v>39.9</v>
      </c>
      <c r="F323" s="128">
        <v>23.45</v>
      </c>
      <c r="G323" s="128">
        <v>16.45</v>
      </c>
    </row>
    <row r="324" spans="2:7" hidden="1" outlineLevel="1" x14ac:dyDescent="0.25">
      <c r="B324" s="128" t="s">
        <v>471</v>
      </c>
      <c r="C324" s="128">
        <v>13</v>
      </c>
      <c r="D324" s="128">
        <v>3</v>
      </c>
      <c r="E324" s="128">
        <v>39</v>
      </c>
      <c r="F324" s="128">
        <v>17</v>
      </c>
      <c r="G324" s="128">
        <v>22</v>
      </c>
    </row>
    <row r="325" spans="2:7" hidden="1" outlineLevel="1" x14ac:dyDescent="0.25">
      <c r="B325" s="128" t="s">
        <v>471</v>
      </c>
      <c r="C325" s="128">
        <v>13.3</v>
      </c>
      <c r="D325" s="128">
        <v>3</v>
      </c>
      <c r="E325" s="128">
        <v>39.9</v>
      </c>
      <c r="F325" s="128">
        <v>21.45</v>
      </c>
      <c r="G325" s="128">
        <v>18.45</v>
      </c>
    </row>
    <row r="326" spans="2:7" hidden="1" outlineLevel="1" x14ac:dyDescent="0.25">
      <c r="B326" s="128" t="s">
        <v>471</v>
      </c>
      <c r="C326" s="128">
        <v>13.3</v>
      </c>
      <c r="D326" s="128">
        <v>3</v>
      </c>
      <c r="E326" s="128">
        <v>39.9</v>
      </c>
      <c r="F326" s="128">
        <v>21.45</v>
      </c>
      <c r="G326" s="128">
        <v>18.45</v>
      </c>
    </row>
    <row r="327" spans="2:7" hidden="1" outlineLevel="1" x14ac:dyDescent="0.25">
      <c r="B327" s="128" t="s">
        <v>471</v>
      </c>
      <c r="C327" s="128">
        <v>13.45</v>
      </c>
      <c r="D327" s="128">
        <v>3</v>
      </c>
      <c r="E327" s="128">
        <v>40.35</v>
      </c>
      <c r="F327" s="128">
        <v>21.45</v>
      </c>
      <c r="G327" s="128">
        <v>18.899999999999999</v>
      </c>
    </row>
    <row r="328" spans="2:7" hidden="1" outlineLevel="1" x14ac:dyDescent="0.25">
      <c r="B328" s="128" t="s">
        <v>471</v>
      </c>
      <c r="C328" s="128">
        <v>13.15</v>
      </c>
      <c r="D328" s="128">
        <v>3</v>
      </c>
      <c r="E328" s="128">
        <v>39.450000000000003</v>
      </c>
      <c r="F328" s="128">
        <v>21.45</v>
      </c>
      <c r="G328" s="128">
        <v>18</v>
      </c>
    </row>
    <row r="329" spans="2:7" hidden="1" outlineLevel="1" x14ac:dyDescent="0.25">
      <c r="B329" s="128" t="s">
        <v>471</v>
      </c>
      <c r="C329" s="128">
        <v>13.15</v>
      </c>
      <c r="D329" s="128">
        <v>3</v>
      </c>
      <c r="E329" s="128">
        <v>39.450000000000003</v>
      </c>
      <c r="F329" s="128">
        <v>17.225000000000001</v>
      </c>
      <c r="G329" s="128">
        <v>22.23</v>
      </c>
    </row>
    <row r="330" spans="2:7" hidden="1" outlineLevel="1" x14ac:dyDescent="0.25">
      <c r="B330" s="128" t="s">
        <v>471</v>
      </c>
      <c r="C330" s="128">
        <v>13.1</v>
      </c>
      <c r="D330" s="128">
        <v>3</v>
      </c>
      <c r="E330" s="128">
        <v>39.299999999999997</v>
      </c>
      <c r="F330" s="128">
        <v>15.225</v>
      </c>
      <c r="G330" s="128">
        <v>24.07</v>
      </c>
    </row>
    <row r="331" spans="2:7" hidden="1" outlineLevel="1" x14ac:dyDescent="0.25">
      <c r="B331" s="128" t="s">
        <v>472</v>
      </c>
      <c r="C331" s="128">
        <v>14.93</v>
      </c>
      <c r="D331" s="128">
        <v>3</v>
      </c>
      <c r="E331" s="128">
        <v>44.8</v>
      </c>
      <c r="F331" s="128">
        <v>6.93</v>
      </c>
      <c r="G331" s="128">
        <v>37.869999999999997</v>
      </c>
    </row>
    <row r="332" spans="2:7" hidden="1" outlineLevel="1" x14ac:dyDescent="0.25">
      <c r="B332" s="128" t="s">
        <v>474</v>
      </c>
      <c r="C332" s="128">
        <v>10.7</v>
      </c>
      <c r="D332" s="128">
        <v>3</v>
      </c>
      <c r="E332" s="128">
        <v>32.1</v>
      </c>
      <c r="F332" s="128">
        <v>26.1</v>
      </c>
      <c r="G332" s="128">
        <v>6</v>
      </c>
    </row>
    <row r="333" spans="2:7" hidden="1" outlineLevel="1" x14ac:dyDescent="0.25">
      <c r="B333" s="128" t="s">
        <v>474</v>
      </c>
      <c r="C333" s="128">
        <v>10.7</v>
      </c>
      <c r="D333" s="128">
        <v>3</v>
      </c>
      <c r="E333" s="128">
        <v>32.1</v>
      </c>
      <c r="F333" s="128">
        <v>16.14</v>
      </c>
      <c r="G333" s="128">
        <v>15.96</v>
      </c>
    </row>
    <row r="334" spans="2:7" hidden="1" outlineLevel="1" x14ac:dyDescent="0.25">
      <c r="B334" s="128" t="s">
        <v>474</v>
      </c>
      <c r="C334" s="128">
        <v>10.7</v>
      </c>
      <c r="D334" s="128">
        <v>3</v>
      </c>
      <c r="E334" s="128">
        <v>32.1</v>
      </c>
      <c r="F334" s="128">
        <v>26.1</v>
      </c>
      <c r="G334" s="128">
        <v>6</v>
      </c>
    </row>
    <row r="335" spans="2:7" hidden="1" outlineLevel="1" x14ac:dyDescent="0.25">
      <c r="B335" s="128" t="s">
        <v>474</v>
      </c>
      <c r="C335" s="128">
        <v>10.7</v>
      </c>
      <c r="D335" s="128">
        <v>3</v>
      </c>
      <c r="E335" s="128">
        <v>32.1</v>
      </c>
      <c r="F335" s="128">
        <v>26.1</v>
      </c>
      <c r="G335" s="128">
        <v>6</v>
      </c>
    </row>
    <row r="336" spans="2:7" hidden="1" outlineLevel="1" x14ac:dyDescent="0.25">
      <c r="B336" s="128" t="s">
        <v>474</v>
      </c>
      <c r="C336" s="128">
        <v>10.7</v>
      </c>
      <c r="D336" s="128">
        <v>3</v>
      </c>
      <c r="E336" s="128">
        <v>32.1</v>
      </c>
      <c r="F336" s="128">
        <v>26.1</v>
      </c>
      <c r="G336" s="128">
        <v>6</v>
      </c>
    </row>
    <row r="337" spans="2:7" hidden="1" outlineLevel="1" x14ac:dyDescent="0.25">
      <c r="B337" s="128" t="s">
        <v>474</v>
      </c>
      <c r="C337" s="128">
        <v>10.7</v>
      </c>
      <c r="D337" s="128">
        <v>3</v>
      </c>
      <c r="E337" s="128">
        <v>32.1</v>
      </c>
      <c r="F337" s="128">
        <v>18.14</v>
      </c>
      <c r="G337" s="128">
        <v>13.96</v>
      </c>
    </row>
    <row r="338" spans="2:7" hidden="1" outlineLevel="1" x14ac:dyDescent="0.25">
      <c r="B338" s="128" t="s">
        <v>632</v>
      </c>
      <c r="C338" s="128">
        <v>16.13</v>
      </c>
      <c r="D338" s="128">
        <v>1.1000000000000001</v>
      </c>
      <c r="E338" s="128">
        <v>17.739999999999998</v>
      </c>
      <c r="F338" s="128">
        <v>2.992</v>
      </c>
      <c r="G338" s="128">
        <v>14.75</v>
      </c>
    </row>
    <row r="339" spans="2:7" hidden="1" outlineLevel="1" x14ac:dyDescent="0.25">
      <c r="B339" s="128" t="s">
        <v>671</v>
      </c>
      <c r="C339" s="128">
        <v>10.8</v>
      </c>
      <c r="D339" s="128">
        <v>3</v>
      </c>
      <c r="E339" s="128">
        <v>32.4</v>
      </c>
      <c r="F339" s="128">
        <v>15.29</v>
      </c>
      <c r="G339" s="128">
        <v>17.11</v>
      </c>
    </row>
    <row r="340" spans="2:7" hidden="1" outlineLevel="1" x14ac:dyDescent="0.25">
      <c r="B340" s="128" t="s">
        <v>178</v>
      </c>
      <c r="E340" s="128">
        <v>1117.78</v>
      </c>
      <c r="G340" s="128">
        <v>592.46</v>
      </c>
    </row>
    <row r="341" spans="2:7" hidden="1" outlineLevel="1" x14ac:dyDescent="0.25"/>
    <row r="342" spans="2:7" hidden="1" outlineLevel="1" x14ac:dyDescent="0.25"/>
    <row r="343" spans="2:7" hidden="1" outlineLevel="1" x14ac:dyDescent="0.25"/>
    <row r="344" spans="2:7" hidden="1" outlineLevel="1" x14ac:dyDescent="0.25"/>
    <row r="345" spans="2:7" hidden="1" outlineLevel="1" x14ac:dyDescent="0.25"/>
    <row r="346" spans="2:7" hidden="1" outlineLevel="1" x14ac:dyDescent="0.25"/>
    <row r="347" spans="2:7" hidden="1" outlineLevel="1" x14ac:dyDescent="0.25"/>
    <row r="348" spans="2:7" hidden="1" outlineLevel="1" x14ac:dyDescent="0.25"/>
    <row r="349" spans="2:7" hidden="1" outlineLevel="1" x14ac:dyDescent="0.25"/>
    <row r="350" spans="2:7" hidden="1" outlineLevel="1" x14ac:dyDescent="0.25"/>
    <row r="351" spans="2:7" hidden="1" outlineLevel="1" x14ac:dyDescent="0.25"/>
    <row r="352" spans="2:7" hidden="1" outlineLevel="1" x14ac:dyDescent="0.25"/>
    <row r="353" spans="2:7" hidden="1" outlineLevel="1" x14ac:dyDescent="0.25"/>
    <row r="354" spans="2:7" collapsed="1" x14ac:dyDescent="0.25"/>
    <row r="355" spans="2:7" x14ac:dyDescent="0.25">
      <c r="B355" s="129" t="s">
        <v>220</v>
      </c>
      <c r="C355" s="130"/>
      <c r="D355" s="130"/>
      <c r="E355" s="130"/>
      <c r="F355" s="131"/>
      <c r="G355" s="132"/>
    </row>
    <row r="356" spans="2:7" hidden="1" outlineLevel="1" x14ac:dyDescent="0.25">
      <c r="B356" s="128" t="s">
        <v>52</v>
      </c>
      <c r="C356" s="128" t="s">
        <v>176</v>
      </c>
    </row>
    <row r="357" spans="2:7" hidden="1" outlineLevel="1" x14ac:dyDescent="0.25">
      <c r="B357" s="128" t="s">
        <v>370</v>
      </c>
      <c r="C357" s="128">
        <v>670.03</v>
      </c>
    </row>
    <row r="358" spans="2:7" hidden="1" outlineLevel="1" x14ac:dyDescent="0.25">
      <c r="B358" s="128" t="s">
        <v>371</v>
      </c>
      <c r="C358" s="128">
        <v>0</v>
      </c>
    </row>
    <row r="359" spans="2:7" hidden="1" outlineLevel="1" x14ac:dyDescent="0.25">
      <c r="B359" s="128" t="s">
        <v>684</v>
      </c>
      <c r="C359" s="128">
        <v>670.03</v>
      </c>
    </row>
    <row r="360" spans="2:7" hidden="1" outlineLevel="1" x14ac:dyDescent="0.25"/>
    <row r="361" spans="2:7" hidden="1" outlineLevel="1" x14ac:dyDescent="0.25"/>
    <row r="362" spans="2:7" collapsed="1" x14ac:dyDescent="0.25"/>
    <row r="363" spans="2:7" x14ac:dyDescent="0.25">
      <c r="B363" s="129" t="s">
        <v>221</v>
      </c>
      <c r="C363" s="130"/>
      <c r="D363" s="130"/>
      <c r="E363" s="130"/>
      <c r="F363" s="131"/>
      <c r="G363" s="132"/>
    </row>
    <row r="364" spans="2:7" hidden="1" outlineLevel="1" x14ac:dyDescent="0.25">
      <c r="B364" s="128" t="s">
        <v>52</v>
      </c>
      <c r="C364" s="128" t="s">
        <v>180</v>
      </c>
    </row>
    <row r="365" spans="2:7" hidden="1" outlineLevel="1" x14ac:dyDescent="0.25">
      <c r="B365" s="128" t="s">
        <v>222</v>
      </c>
      <c r="C365" s="128">
        <v>63.21</v>
      </c>
    </row>
    <row r="366" spans="2:7" hidden="1" outlineLevel="1" x14ac:dyDescent="0.25">
      <c r="B366" s="128" t="s">
        <v>617</v>
      </c>
      <c r="C366" s="128">
        <v>63.21</v>
      </c>
    </row>
    <row r="367" spans="2:7" hidden="1" outlineLevel="1" x14ac:dyDescent="0.25"/>
    <row r="368" spans="2:7" hidden="1" outlineLevel="1" x14ac:dyDescent="0.25"/>
    <row r="369" spans="2:7" hidden="1" outlineLevel="1" x14ac:dyDescent="0.25"/>
    <row r="370" spans="2:7" hidden="1" outlineLevel="1" x14ac:dyDescent="0.25"/>
    <row r="371" spans="2:7" hidden="1" outlineLevel="1" x14ac:dyDescent="0.25"/>
    <row r="372" spans="2:7" hidden="1" outlineLevel="1" x14ac:dyDescent="0.25"/>
    <row r="373" spans="2:7" hidden="1" outlineLevel="1" x14ac:dyDescent="0.25"/>
    <row r="374" spans="2:7" collapsed="1" x14ac:dyDescent="0.25"/>
    <row r="375" spans="2:7" x14ac:dyDescent="0.25">
      <c r="B375" s="129" t="s">
        <v>225</v>
      </c>
      <c r="C375" s="130"/>
      <c r="D375" s="130"/>
      <c r="E375" s="130"/>
      <c r="F375" s="131"/>
      <c r="G375" s="132"/>
    </row>
    <row r="376" spans="2:7" hidden="1" outlineLevel="1" x14ac:dyDescent="0.25">
      <c r="B376" s="128" t="s">
        <v>52</v>
      </c>
      <c r="C376" s="128" t="s">
        <v>180</v>
      </c>
    </row>
    <row r="377" spans="2:7" hidden="1" outlineLevel="1" x14ac:dyDescent="0.25">
      <c r="B377" s="128" t="s">
        <v>372</v>
      </c>
      <c r="C377" s="128">
        <v>132.25</v>
      </c>
    </row>
    <row r="378" spans="2:7" hidden="1" outlineLevel="1" x14ac:dyDescent="0.25">
      <c r="B378" s="128" t="s">
        <v>253</v>
      </c>
      <c r="C378" s="128">
        <v>132.25</v>
      </c>
    </row>
    <row r="379" spans="2:7" hidden="1" outlineLevel="1" x14ac:dyDescent="0.25"/>
    <row r="380" spans="2:7" hidden="1" outlineLevel="1" x14ac:dyDescent="0.25"/>
    <row r="381" spans="2:7" hidden="1" outlineLevel="1" x14ac:dyDescent="0.25"/>
    <row r="382" spans="2:7" hidden="1" outlineLevel="1" x14ac:dyDescent="0.25"/>
    <row r="383" spans="2:7" hidden="1" outlineLevel="1" x14ac:dyDescent="0.25"/>
    <row r="384" spans="2:7" hidden="1" outlineLevel="1" x14ac:dyDescent="0.25"/>
    <row r="385" spans="2:7" hidden="1" outlineLevel="1" x14ac:dyDescent="0.25"/>
    <row r="386" spans="2:7" collapsed="1" x14ac:dyDescent="0.25"/>
    <row r="387" spans="2:7" x14ac:dyDescent="0.25">
      <c r="B387" s="129" t="s">
        <v>373</v>
      </c>
      <c r="C387" s="130"/>
      <c r="D387" s="130"/>
      <c r="E387" s="130"/>
      <c r="F387" s="131"/>
      <c r="G387" s="132"/>
    </row>
    <row r="388" spans="2:7" hidden="1" outlineLevel="1" x14ac:dyDescent="0.25">
      <c r="B388" s="128" t="s">
        <v>52</v>
      </c>
      <c r="C388" s="128" t="s">
        <v>180</v>
      </c>
    </row>
    <row r="389" spans="2:7" hidden="1" outlineLevel="1" x14ac:dyDescent="0.25">
      <c r="B389" s="128" t="s">
        <v>374</v>
      </c>
      <c r="C389" s="128">
        <v>76.47</v>
      </c>
    </row>
    <row r="390" spans="2:7" hidden="1" outlineLevel="1" x14ac:dyDescent="0.25">
      <c r="B390" s="128" t="s">
        <v>253</v>
      </c>
      <c r="C390" s="128">
        <v>76.47</v>
      </c>
    </row>
    <row r="391" spans="2:7" hidden="1" outlineLevel="1" x14ac:dyDescent="0.25"/>
    <row r="392" spans="2:7" hidden="1" outlineLevel="1" x14ac:dyDescent="0.25"/>
    <row r="393" spans="2:7" hidden="1" outlineLevel="1" x14ac:dyDescent="0.25"/>
    <row r="394" spans="2:7" hidden="1" outlineLevel="1" x14ac:dyDescent="0.25"/>
    <row r="395" spans="2:7" collapsed="1" x14ac:dyDescent="0.25"/>
    <row r="396" spans="2:7" x14ac:dyDescent="0.25">
      <c r="B396" s="129" t="s">
        <v>375</v>
      </c>
      <c r="C396" s="130"/>
      <c r="D396" s="130"/>
      <c r="E396" s="130"/>
      <c r="F396" s="131"/>
      <c r="G396" s="132"/>
    </row>
    <row r="397" spans="2:7" hidden="1" outlineLevel="1" x14ac:dyDescent="0.25">
      <c r="B397" s="128" t="s">
        <v>52</v>
      </c>
      <c r="C397" s="128" t="s">
        <v>226</v>
      </c>
    </row>
    <row r="398" spans="2:7" hidden="1" outlineLevel="1" x14ac:dyDescent="0.25">
      <c r="B398" s="128" t="s">
        <v>376</v>
      </c>
      <c r="C398" s="128">
        <v>239.96</v>
      </c>
    </row>
    <row r="399" spans="2:7" hidden="1" outlineLevel="1" x14ac:dyDescent="0.25">
      <c r="B399" s="128" t="s">
        <v>685</v>
      </c>
      <c r="C399" s="128">
        <v>239.96</v>
      </c>
    </row>
    <row r="400" spans="2:7" hidden="1" outlineLevel="1" x14ac:dyDescent="0.25"/>
    <row r="401" spans="2:7" hidden="1" outlineLevel="1" x14ac:dyDescent="0.25"/>
    <row r="402" spans="2:7" hidden="1" outlineLevel="1" x14ac:dyDescent="0.25"/>
    <row r="403" spans="2:7" hidden="1" outlineLevel="1" x14ac:dyDescent="0.25"/>
    <row r="404" spans="2:7" hidden="1" outlineLevel="1" x14ac:dyDescent="0.25"/>
    <row r="405" spans="2:7" hidden="1" outlineLevel="1" x14ac:dyDescent="0.25"/>
    <row r="406" spans="2:7" collapsed="1" x14ac:dyDescent="0.25"/>
    <row r="408" spans="2:7" x14ac:dyDescent="0.25">
      <c r="B408" s="129" t="s">
        <v>689</v>
      </c>
      <c r="C408" s="130"/>
      <c r="D408" s="130"/>
      <c r="E408" s="130"/>
      <c r="F408" s="131"/>
      <c r="G408" s="132"/>
    </row>
    <row r="409" spans="2:7" hidden="1" outlineLevel="1" x14ac:dyDescent="0.25">
      <c r="B409" s="257" t="s">
        <v>148</v>
      </c>
      <c r="C409" s="257" t="s">
        <v>176</v>
      </c>
      <c r="D409" s="257"/>
      <c r="E409" s="257"/>
    </row>
    <row r="410" spans="2:7" hidden="1" outlineLevel="1" x14ac:dyDescent="0.25">
      <c r="B410" s="128" t="s">
        <v>663</v>
      </c>
      <c r="C410" s="128">
        <v>23.19</v>
      </c>
    </row>
    <row r="411" spans="2:7" hidden="1" outlineLevel="1" x14ac:dyDescent="0.25">
      <c r="B411" s="128" t="s">
        <v>664</v>
      </c>
      <c r="C411" s="128">
        <v>33.11</v>
      </c>
    </row>
    <row r="412" spans="2:7" hidden="1" outlineLevel="1" x14ac:dyDescent="0.25">
      <c r="B412" s="128" t="s">
        <v>665</v>
      </c>
      <c r="C412" s="128">
        <v>22.35</v>
      </c>
    </row>
    <row r="413" spans="2:7" hidden="1" outlineLevel="1" x14ac:dyDescent="0.25">
      <c r="B413" s="128" t="s">
        <v>666</v>
      </c>
      <c r="C413" s="128">
        <v>108.83</v>
      </c>
    </row>
    <row r="414" spans="2:7" hidden="1" outlineLevel="1" x14ac:dyDescent="0.25">
      <c r="B414" s="128" t="s">
        <v>667</v>
      </c>
      <c r="C414" s="128">
        <v>8.64</v>
      </c>
    </row>
    <row r="415" spans="2:7" hidden="1" outlineLevel="1" x14ac:dyDescent="0.25">
      <c r="B415" s="128" t="s">
        <v>668</v>
      </c>
      <c r="C415" s="128">
        <v>8.64</v>
      </c>
    </row>
    <row r="416" spans="2:7" hidden="1" outlineLevel="1" x14ac:dyDescent="0.25">
      <c r="B416" s="128" t="s">
        <v>669</v>
      </c>
      <c r="C416" s="128">
        <v>8.14</v>
      </c>
    </row>
    <row r="417" spans="2:3" hidden="1" outlineLevel="1" x14ac:dyDescent="0.25">
      <c r="B417" s="128" t="s">
        <v>670</v>
      </c>
      <c r="C417" s="128">
        <v>1.0900000000000001</v>
      </c>
    </row>
    <row r="418" spans="2:3" hidden="1" outlineLevel="1" x14ac:dyDescent="0.25">
      <c r="B418" s="128" t="s">
        <v>471</v>
      </c>
      <c r="C418" s="128">
        <v>10.5</v>
      </c>
    </row>
    <row r="419" spans="2:3" hidden="1" outlineLevel="1" x14ac:dyDescent="0.25">
      <c r="B419" s="128" t="s">
        <v>471</v>
      </c>
      <c r="C419" s="128">
        <v>10.65</v>
      </c>
    </row>
    <row r="420" spans="2:3" hidden="1" outlineLevel="1" x14ac:dyDescent="0.25">
      <c r="B420" s="128" t="s">
        <v>471</v>
      </c>
      <c r="C420" s="128">
        <v>10.65</v>
      </c>
    </row>
    <row r="421" spans="2:3" hidden="1" outlineLevel="1" x14ac:dyDescent="0.25">
      <c r="B421" s="128" t="s">
        <v>471</v>
      </c>
      <c r="C421" s="128">
        <v>10.8</v>
      </c>
    </row>
    <row r="422" spans="2:3" hidden="1" outlineLevel="1" x14ac:dyDescent="0.25">
      <c r="B422" s="128" t="s">
        <v>471</v>
      </c>
      <c r="C422" s="128">
        <v>10.8</v>
      </c>
    </row>
    <row r="423" spans="2:3" hidden="1" outlineLevel="1" x14ac:dyDescent="0.25">
      <c r="B423" s="128" t="s">
        <v>471</v>
      </c>
      <c r="C423" s="128">
        <v>10.8</v>
      </c>
    </row>
    <row r="424" spans="2:3" hidden="1" outlineLevel="1" x14ac:dyDescent="0.25">
      <c r="B424" s="128" t="s">
        <v>471</v>
      </c>
      <c r="C424" s="128">
        <v>10.8</v>
      </c>
    </row>
    <row r="425" spans="2:3" hidden="1" outlineLevel="1" x14ac:dyDescent="0.25">
      <c r="B425" s="128" t="s">
        <v>471</v>
      </c>
      <c r="C425" s="128">
        <v>10.95</v>
      </c>
    </row>
    <row r="426" spans="2:3" hidden="1" outlineLevel="1" x14ac:dyDescent="0.25">
      <c r="B426" s="128" t="s">
        <v>471</v>
      </c>
      <c r="C426" s="128">
        <v>10.96</v>
      </c>
    </row>
    <row r="427" spans="2:3" hidden="1" outlineLevel="1" x14ac:dyDescent="0.25">
      <c r="B427" s="128" t="s">
        <v>472</v>
      </c>
      <c r="C427" s="128">
        <v>14.35</v>
      </c>
    </row>
    <row r="428" spans="2:3" hidden="1" outlineLevel="1" x14ac:dyDescent="0.25">
      <c r="B428" s="128" t="s">
        <v>474</v>
      </c>
      <c r="C428" s="128">
        <v>6.7</v>
      </c>
    </row>
    <row r="429" spans="2:3" hidden="1" outlineLevel="1" x14ac:dyDescent="0.25">
      <c r="B429" s="128" t="s">
        <v>474</v>
      </c>
      <c r="C429" s="128">
        <v>6.7</v>
      </c>
    </row>
    <row r="430" spans="2:3" hidden="1" outlineLevel="1" x14ac:dyDescent="0.25">
      <c r="B430" s="128" t="s">
        <v>474</v>
      </c>
      <c r="C430" s="128">
        <v>6.7</v>
      </c>
    </row>
    <row r="431" spans="2:3" hidden="1" outlineLevel="1" x14ac:dyDescent="0.25">
      <c r="B431" s="128" t="s">
        <v>474</v>
      </c>
      <c r="C431" s="128">
        <v>6.7</v>
      </c>
    </row>
    <row r="432" spans="2:3" hidden="1" outlineLevel="1" x14ac:dyDescent="0.25">
      <c r="B432" s="128" t="s">
        <v>474</v>
      </c>
      <c r="C432" s="128">
        <v>6.7</v>
      </c>
    </row>
    <row r="433" spans="2:3" hidden="1" outlineLevel="1" x14ac:dyDescent="0.25">
      <c r="B433" s="128" t="s">
        <v>474</v>
      </c>
      <c r="C433" s="128">
        <v>6.7</v>
      </c>
    </row>
    <row r="434" spans="2:3" hidden="1" outlineLevel="1" x14ac:dyDescent="0.25">
      <c r="B434" s="128" t="s">
        <v>632</v>
      </c>
      <c r="C434" s="128">
        <v>16.559999999999999</v>
      </c>
    </row>
    <row r="435" spans="2:3" hidden="1" outlineLevel="1" x14ac:dyDescent="0.25">
      <c r="B435" s="128" t="s">
        <v>671</v>
      </c>
      <c r="C435" s="128">
        <v>6.55</v>
      </c>
    </row>
    <row r="436" spans="2:3" hidden="1" outlineLevel="1" x14ac:dyDescent="0.25">
      <c r="B436" s="128" t="s">
        <v>377</v>
      </c>
      <c r="C436" s="128">
        <v>7.2</v>
      </c>
    </row>
    <row r="437" spans="2:3" hidden="1" outlineLevel="1" x14ac:dyDescent="0.25">
      <c r="B437" s="128" t="s">
        <v>476</v>
      </c>
      <c r="C437" s="128">
        <v>31.86</v>
      </c>
    </row>
    <row r="438" spans="2:3" hidden="1" outlineLevel="1" x14ac:dyDescent="0.25">
      <c r="B438" s="128" t="s">
        <v>477</v>
      </c>
      <c r="C438" s="128">
        <v>10.51</v>
      </c>
    </row>
    <row r="439" spans="2:3" hidden="1" outlineLevel="1" x14ac:dyDescent="0.25">
      <c r="B439" s="128" t="s">
        <v>674</v>
      </c>
      <c r="C439" s="128">
        <v>8.64</v>
      </c>
    </row>
    <row r="440" spans="2:3" hidden="1" outlineLevel="1" x14ac:dyDescent="0.25">
      <c r="B440" s="128" t="s">
        <v>680</v>
      </c>
      <c r="C440" s="128">
        <v>6.59</v>
      </c>
    </row>
    <row r="441" spans="2:3" hidden="1" outlineLevel="1" x14ac:dyDescent="0.25">
      <c r="B441" s="128" t="s">
        <v>379</v>
      </c>
      <c r="C441" s="128">
        <v>453.34</v>
      </c>
    </row>
    <row r="442" spans="2:3" hidden="1" outlineLevel="1" x14ac:dyDescent="0.25"/>
    <row r="443" spans="2:3" hidden="1" outlineLevel="1" x14ac:dyDescent="0.25"/>
    <row r="444" spans="2:3" hidden="1" outlineLevel="1" x14ac:dyDescent="0.25"/>
    <row r="445" spans="2:3" hidden="1" outlineLevel="1" x14ac:dyDescent="0.25"/>
    <row r="446" spans="2:3" hidden="1" outlineLevel="1" x14ac:dyDescent="0.25"/>
    <row r="447" spans="2:3" hidden="1" outlineLevel="1" x14ac:dyDescent="0.25"/>
    <row r="448" spans="2:3" collapsed="1" x14ac:dyDescent="0.25"/>
    <row r="449" spans="2:7" x14ac:dyDescent="0.25">
      <c r="B449" s="129" t="s">
        <v>233</v>
      </c>
      <c r="C449" s="130"/>
      <c r="D449" s="130"/>
      <c r="E449" s="130"/>
      <c r="F449" s="131"/>
      <c r="G449" s="132"/>
    </row>
    <row r="450" spans="2:7" hidden="1" outlineLevel="1" x14ac:dyDescent="0.25">
      <c r="B450" s="128" t="s">
        <v>148</v>
      </c>
      <c r="C450" s="128" t="s">
        <v>184</v>
      </c>
      <c r="D450" s="128" t="s">
        <v>176</v>
      </c>
    </row>
    <row r="451" spans="2:7" hidden="1" outlineLevel="1" x14ac:dyDescent="0.25">
      <c r="B451" s="128" t="s">
        <v>661</v>
      </c>
      <c r="C451" s="128">
        <v>11.5</v>
      </c>
      <c r="D451" s="128">
        <v>7.88</v>
      </c>
    </row>
    <row r="452" spans="2:7" hidden="1" outlineLevel="1" x14ac:dyDescent="0.25">
      <c r="B452" s="128" t="s">
        <v>662</v>
      </c>
      <c r="C452" s="128">
        <v>12.93</v>
      </c>
      <c r="D452" s="128">
        <v>9.9</v>
      </c>
    </row>
    <row r="453" spans="2:7" hidden="1" outlineLevel="1" x14ac:dyDescent="0.25">
      <c r="B453" s="128" t="s">
        <v>465</v>
      </c>
      <c r="C453" s="128">
        <v>9.92</v>
      </c>
      <c r="D453" s="128">
        <v>6.06</v>
      </c>
    </row>
    <row r="454" spans="2:7" hidden="1" outlineLevel="1" x14ac:dyDescent="0.25">
      <c r="B454" s="128" t="s">
        <v>203</v>
      </c>
      <c r="C454" s="128">
        <v>8.5</v>
      </c>
      <c r="D454" s="128">
        <v>4.5</v>
      </c>
    </row>
    <row r="455" spans="2:7" hidden="1" outlineLevel="1" x14ac:dyDescent="0.25">
      <c r="B455" s="128" t="s">
        <v>203</v>
      </c>
      <c r="C455" s="128">
        <v>13.57</v>
      </c>
      <c r="D455" s="128">
        <v>11.16</v>
      </c>
    </row>
    <row r="456" spans="2:7" hidden="1" outlineLevel="1" x14ac:dyDescent="0.25">
      <c r="B456" s="128" t="s">
        <v>469</v>
      </c>
      <c r="C456" s="128">
        <v>13.76</v>
      </c>
      <c r="D456" s="128">
        <v>11.02</v>
      </c>
    </row>
    <row r="457" spans="2:7" hidden="1" outlineLevel="1" x14ac:dyDescent="0.25">
      <c r="B457" s="128" t="s">
        <v>351</v>
      </c>
      <c r="C457" s="128">
        <v>6.4</v>
      </c>
      <c r="D457" s="128">
        <v>2.2599999999999998</v>
      </c>
    </row>
    <row r="458" spans="2:7" hidden="1" outlineLevel="1" x14ac:dyDescent="0.25">
      <c r="B458" s="128" t="s">
        <v>351</v>
      </c>
      <c r="C458" s="128">
        <v>6.98</v>
      </c>
      <c r="D458" s="128">
        <v>2.86</v>
      </c>
    </row>
    <row r="459" spans="2:7" hidden="1" outlineLevel="1" x14ac:dyDescent="0.25">
      <c r="B459" s="128" t="s">
        <v>470</v>
      </c>
      <c r="C459" s="128">
        <v>6.2</v>
      </c>
      <c r="D459" s="128">
        <v>2.2000000000000002</v>
      </c>
    </row>
    <row r="460" spans="2:7" hidden="1" outlineLevel="1" x14ac:dyDescent="0.25">
      <c r="B460" s="128" t="s">
        <v>473</v>
      </c>
      <c r="C460" s="128">
        <v>19.3</v>
      </c>
      <c r="D460" s="128">
        <v>21.54</v>
      </c>
    </row>
    <row r="461" spans="2:7" hidden="1" outlineLevel="1" x14ac:dyDescent="0.25">
      <c r="B461" s="128" t="s">
        <v>672</v>
      </c>
      <c r="C461" s="128">
        <v>13</v>
      </c>
      <c r="D461" s="128">
        <v>10.51</v>
      </c>
    </row>
    <row r="462" spans="2:7" hidden="1" outlineLevel="1" x14ac:dyDescent="0.25">
      <c r="B462" s="128" t="s">
        <v>475</v>
      </c>
      <c r="C462" s="128">
        <v>11.97</v>
      </c>
      <c r="D462" s="128">
        <v>7.97</v>
      </c>
    </row>
    <row r="463" spans="2:7" hidden="1" outlineLevel="1" x14ac:dyDescent="0.25">
      <c r="B463" s="128" t="s">
        <v>673</v>
      </c>
      <c r="C463" s="128">
        <v>13</v>
      </c>
      <c r="D463" s="128">
        <v>10.45</v>
      </c>
    </row>
    <row r="464" spans="2:7" hidden="1" outlineLevel="1" x14ac:dyDescent="0.25">
      <c r="B464" s="128" t="s">
        <v>478</v>
      </c>
      <c r="C464" s="128">
        <v>8.3000000000000007</v>
      </c>
      <c r="D464" s="128">
        <v>4.3</v>
      </c>
    </row>
    <row r="465" spans="2:4" hidden="1" outlineLevel="1" x14ac:dyDescent="0.25">
      <c r="B465" s="128" t="s">
        <v>478</v>
      </c>
      <c r="C465" s="128">
        <v>9.66</v>
      </c>
      <c r="D465" s="128">
        <v>5.87</v>
      </c>
    </row>
    <row r="466" spans="2:4" hidden="1" outlineLevel="1" x14ac:dyDescent="0.25">
      <c r="B466" s="128" t="s">
        <v>479</v>
      </c>
      <c r="C466" s="128">
        <v>13.37</v>
      </c>
      <c r="D466" s="128">
        <v>10.76</v>
      </c>
    </row>
    <row r="467" spans="2:4" hidden="1" outlineLevel="1" x14ac:dyDescent="0.25">
      <c r="B467" s="128" t="s">
        <v>480</v>
      </c>
      <c r="C467" s="128">
        <v>13.37</v>
      </c>
      <c r="D467" s="128">
        <v>10.77</v>
      </c>
    </row>
    <row r="468" spans="2:4" hidden="1" outlineLevel="1" x14ac:dyDescent="0.25">
      <c r="B468" s="128" t="s">
        <v>675</v>
      </c>
      <c r="C468" s="128">
        <v>7.35</v>
      </c>
      <c r="D468" s="128">
        <v>3.35</v>
      </c>
    </row>
    <row r="469" spans="2:4" hidden="1" outlineLevel="1" x14ac:dyDescent="0.25">
      <c r="B469" s="128" t="s">
        <v>676</v>
      </c>
      <c r="C469" s="128">
        <v>7.35</v>
      </c>
      <c r="D469" s="128">
        <v>3.35</v>
      </c>
    </row>
    <row r="470" spans="2:4" hidden="1" outlineLevel="1" x14ac:dyDescent="0.25">
      <c r="B470" s="128" t="s">
        <v>481</v>
      </c>
      <c r="C470" s="128">
        <v>9.58</v>
      </c>
      <c r="D470" s="128">
        <v>5.43</v>
      </c>
    </row>
    <row r="471" spans="2:4" hidden="1" outlineLevel="1" x14ac:dyDescent="0.25">
      <c r="B471" s="128" t="s">
        <v>482</v>
      </c>
      <c r="C471" s="128">
        <v>9.4</v>
      </c>
      <c r="D471" s="128">
        <v>5.0999999999999996</v>
      </c>
    </row>
    <row r="472" spans="2:4" hidden="1" outlineLevel="1" x14ac:dyDescent="0.25">
      <c r="B472" s="128" t="s">
        <v>483</v>
      </c>
      <c r="C472" s="128">
        <v>9.4</v>
      </c>
      <c r="D472" s="128">
        <v>5.0999999999999996</v>
      </c>
    </row>
    <row r="473" spans="2:4" hidden="1" outlineLevel="1" x14ac:dyDescent="0.25">
      <c r="B473" s="128" t="s">
        <v>677</v>
      </c>
      <c r="C473" s="128">
        <v>7.4</v>
      </c>
      <c r="D473" s="128">
        <v>3.4</v>
      </c>
    </row>
    <row r="474" spans="2:4" hidden="1" outlineLevel="1" x14ac:dyDescent="0.25">
      <c r="B474" s="128" t="s">
        <v>678</v>
      </c>
      <c r="C474" s="128">
        <v>7.4</v>
      </c>
      <c r="D474" s="128">
        <v>3.4</v>
      </c>
    </row>
    <row r="475" spans="2:4" hidden="1" outlineLevel="1" x14ac:dyDescent="0.25">
      <c r="B475" s="128" t="s">
        <v>679</v>
      </c>
      <c r="C475" s="128">
        <v>8.35</v>
      </c>
      <c r="D475" s="128">
        <v>4.21</v>
      </c>
    </row>
    <row r="476" spans="2:4" hidden="1" outlineLevel="1" x14ac:dyDescent="0.25">
      <c r="B476" s="128" t="s">
        <v>254</v>
      </c>
      <c r="C476" s="128">
        <v>22.57</v>
      </c>
      <c r="D476" s="128">
        <v>21.03</v>
      </c>
    </row>
    <row r="477" spans="2:4" hidden="1" outlineLevel="1" x14ac:dyDescent="0.25">
      <c r="B477" s="128" t="s">
        <v>696</v>
      </c>
      <c r="C477" s="128">
        <v>280.56</v>
      </c>
      <c r="D477" s="128">
        <v>194.37</v>
      </c>
    </row>
    <row r="478" spans="2:4" hidden="1" outlineLevel="1" x14ac:dyDescent="0.25"/>
    <row r="479" spans="2:4" hidden="1" outlineLevel="1" x14ac:dyDescent="0.25"/>
    <row r="480" spans="2:4" hidden="1" outlineLevel="1" x14ac:dyDescent="0.25"/>
    <row r="481" spans="2:7" hidden="1" outlineLevel="1" x14ac:dyDescent="0.25"/>
    <row r="482" spans="2:7" hidden="1" outlineLevel="1" x14ac:dyDescent="0.25"/>
    <row r="483" spans="2:7" hidden="1" outlineLevel="1" x14ac:dyDescent="0.25"/>
    <row r="484" spans="2:7" hidden="1" outlineLevel="1" collapsed="1" x14ac:dyDescent="0.25"/>
    <row r="485" spans="2:7" collapsed="1" x14ac:dyDescent="0.25"/>
    <row r="488" spans="2:7" x14ac:dyDescent="0.25">
      <c r="B488" s="129" t="s">
        <v>618</v>
      </c>
      <c r="C488" s="130"/>
      <c r="D488" s="130"/>
      <c r="E488" s="130"/>
      <c r="F488" s="131"/>
      <c r="G488" s="132"/>
    </row>
    <row r="489" spans="2:7" hidden="1" outlineLevel="1" x14ac:dyDescent="0.25">
      <c r="B489" s="128" t="s">
        <v>148</v>
      </c>
      <c r="C489" s="128" t="s">
        <v>184</v>
      </c>
      <c r="D489" s="128" t="s">
        <v>185</v>
      </c>
      <c r="E489" s="128" t="s">
        <v>227</v>
      </c>
    </row>
    <row r="490" spans="2:7" hidden="1" outlineLevel="1" x14ac:dyDescent="0.25">
      <c r="B490" s="128" t="s">
        <v>662</v>
      </c>
      <c r="C490" s="128">
        <v>12.93</v>
      </c>
      <c r="D490" s="128">
        <v>0.9</v>
      </c>
      <c r="E490" s="128">
        <v>12.03</v>
      </c>
    </row>
    <row r="491" spans="2:7" hidden="1" outlineLevel="1" x14ac:dyDescent="0.25">
      <c r="B491" s="128" t="s">
        <v>465</v>
      </c>
      <c r="C491" s="128">
        <v>9.92</v>
      </c>
      <c r="D491" s="128">
        <v>1.2</v>
      </c>
      <c r="E491" s="128">
        <v>8.7200000000000006</v>
      </c>
    </row>
    <row r="492" spans="2:7" hidden="1" outlineLevel="1" x14ac:dyDescent="0.25">
      <c r="B492" s="128" t="s">
        <v>469</v>
      </c>
      <c r="C492" s="128">
        <v>13.76</v>
      </c>
      <c r="D492" s="128">
        <v>1</v>
      </c>
      <c r="E492" s="128">
        <v>12.76</v>
      </c>
    </row>
    <row r="493" spans="2:7" hidden="1" outlineLevel="1" x14ac:dyDescent="0.25">
      <c r="B493" s="128" t="s">
        <v>475</v>
      </c>
      <c r="C493" s="128">
        <v>11.97</v>
      </c>
      <c r="D493" s="128">
        <v>0.7</v>
      </c>
      <c r="E493" s="128">
        <v>11.27</v>
      </c>
    </row>
    <row r="494" spans="2:7" hidden="1" outlineLevel="1" x14ac:dyDescent="0.25">
      <c r="B494" s="128" t="s">
        <v>673</v>
      </c>
      <c r="C494" s="128">
        <v>13</v>
      </c>
      <c r="D494" s="128">
        <v>0.7</v>
      </c>
      <c r="E494" s="128">
        <v>12.3</v>
      </c>
    </row>
    <row r="495" spans="2:7" hidden="1" outlineLevel="1" x14ac:dyDescent="0.25">
      <c r="B495" s="128" t="s">
        <v>478</v>
      </c>
      <c r="C495" s="128">
        <v>8.3000000000000007</v>
      </c>
      <c r="D495" s="128">
        <v>0.8</v>
      </c>
      <c r="E495" s="128">
        <v>7.5</v>
      </c>
    </row>
    <row r="496" spans="2:7" hidden="1" outlineLevel="1" x14ac:dyDescent="0.25">
      <c r="B496" s="128" t="s">
        <v>478</v>
      </c>
      <c r="C496" s="128">
        <v>9.66</v>
      </c>
      <c r="D496" s="128">
        <v>0.8</v>
      </c>
      <c r="E496" s="128">
        <v>8.86</v>
      </c>
    </row>
    <row r="497" spans="2:7" hidden="1" outlineLevel="1" x14ac:dyDescent="0.25">
      <c r="B497" s="128" t="s">
        <v>254</v>
      </c>
      <c r="C497" s="128">
        <v>22.57</v>
      </c>
      <c r="D497" s="128">
        <v>14.48</v>
      </c>
      <c r="E497" s="128">
        <v>8.09</v>
      </c>
    </row>
    <row r="498" spans="2:7" hidden="1" outlineLevel="1" x14ac:dyDescent="0.25">
      <c r="B498" s="128" t="s">
        <v>178</v>
      </c>
      <c r="C498" s="128">
        <v>102.11</v>
      </c>
      <c r="E498" s="128">
        <v>81.53</v>
      </c>
    </row>
    <row r="499" spans="2:7" hidden="1" outlineLevel="1" x14ac:dyDescent="0.25"/>
    <row r="500" spans="2:7" hidden="1" outlineLevel="1" x14ac:dyDescent="0.25"/>
    <row r="501" spans="2:7" hidden="1" outlineLevel="1" x14ac:dyDescent="0.25"/>
    <row r="502" spans="2:7" hidden="1" outlineLevel="1" x14ac:dyDescent="0.25"/>
    <row r="503" spans="2:7" hidden="1" outlineLevel="1" x14ac:dyDescent="0.25"/>
    <row r="504" spans="2:7" hidden="1" outlineLevel="1" x14ac:dyDescent="0.25"/>
    <row r="505" spans="2:7" hidden="1" outlineLevel="1" x14ac:dyDescent="0.25"/>
    <row r="506" spans="2:7" hidden="1" outlineLevel="1" x14ac:dyDescent="0.25"/>
    <row r="507" spans="2:7" hidden="1" outlineLevel="1" x14ac:dyDescent="0.25"/>
    <row r="508" spans="2:7" collapsed="1" x14ac:dyDescent="0.25"/>
    <row r="509" spans="2:7" x14ac:dyDescent="0.25">
      <c r="B509" s="129" t="s">
        <v>690</v>
      </c>
      <c r="C509" s="130"/>
      <c r="D509" s="130"/>
      <c r="E509" s="130"/>
      <c r="F509" s="131"/>
      <c r="G509" s="132"/>
    </row>
    <row r="510" spans="2:7" hidden="1" outlineLevel="1" x14ac:dyDescent="0.25">
      <c r="B510" s="128" t="s">
        <v>148</v>
      </c>
      <c r="C510" s="128" t="s">
        <v>184</v>
      </c>
      <c r="D510" s="128" t="s">
        <v>185</v>
      </c>
      <c r="E510" s="128" t="s">
        <v>227</v>
      </c>
    </row>
    <row r="511" spans="2:7" hidden="1" outlineLevel="1" x14ac:dyDescent="0.25">
      <c r="B511" s="128" t="s">
        <v>663</v>
      </c>
      <c r="C511" s="128">
        <v>30.07</v>
      </c>
      <c r="D511" s="128">
        <v>11.9</v>
      </c>
      <c r="E511" s="128">
        <v>18.170000000000002</v>
      </c>
    </row>
    <row r="512" spans="2:7" hidden="1" outlineLevel="1" x14ac:dyDescent="0.25">
      <c r="B512" s="128" t="s">
        <v>664</v>
      </c>
      <c r="C512" s="128">
        <v>37.450000000000003</v>
      </c>
      <c r="D512" s="128">
        <v>20.25</v>
      </c>
      <c r="E512" s="128">
        <v>17.2</v>
      </c>
    </row>
    <row r="513" spans="2:5" hidden="1" outlineLevel="1" x14ac:dyDescent="0.25">
      <c r="B513" s="128" t="s">
        <v>665</v>
      </c>
      <c r="C513" s="128">
        <v>34.409999999999997</v>
      </c>
      <c r="D513" s="128">
        <v>6.1</v>
      </c>
      <c r="E513" s="128">
        <v>28.31</v>
      </c>
    </row>
    <row r="514" spans="2:5" hidden="1" outlineLevel="1" x14ac:dyDescent="0.25">
      <c r="B514" s="128" t="s">
        <v>666</v>
      </c>
      <c r="C514" s="128">
        <v>73.92</v>
      </c>
      <c r="D514" s="128">
        <v>35.67</v>
      </c>
      <c r="E514" s="128">
        <v>38.25</v>
      </c>
    </row>
    <row r="515" spans="2:5" hidden="1" outlineLevel="1" x14ac:dyDescent="0.25">
      <c r="B515" s="128" t="s">
        <v>667</v>
      </c>
      <c r="C515" s="128">
        <v>11.8</v>
      </c>
      <c r="D515" s="128">
        <v>0.8</v>
      </c>
      <c r="E515" s="128">
        <v>11</v>
      </c>
    </row>
    <row r="516" spans="2:5" hidden="1" outlineLevel="1" x14ac:dyDescent="0.25">
      <c r="B516" s="128" t="s">
        <v>668</v>
      </c>
      <c r="C516" s="128">
        <v>11.8</v>
      </c>
      <c r="D516" s="128">
        <v>1</v>
      </c>
      <c r="E516" s="128">
        <v>10.8</v>
      </c>
    </row>
    <row r="517" spans="2:5" hidden="1" outlineLevel="1" x14ac:dyDescent="0.25">
      <c r="B517" s="128" t="s">
        <v>669</v>
      </c>
      <c r="C517" s="128">
        <v>12.4</v>
      </c>
      <c r="D517" s="128">
        <v>0.8</v>
      </c>
      <c r="E517" s="128">
        <v>11.6</v>
      </c>
    </row>
    <row r="518" spans="2:5" hidden="1" outlineLevel="1" x14ac:dyDescent="0.25">
      <c r="B518" s="128" t="s">
        <v>670</v>
      </c>
      <c r="C518" s="128">
        <v>4.45</v>
      </c>
      <c r="D518" s="128">
        <v>1.5</v>
      </c>
      <c r="E518" s="128">
        <v>2.95</v>
      </c>
    </row>
    <row r="519" spans="2:5" hidden="1" outlineLevel="1" x14ac:dyDescent="0.25">
      <c r="B519" s="128" t="s">
        <v>471</v>
      </c>
      <c r="C519" s="128">
        <v>13</v>
      </c>
      <c r="D519" s="128">
        <v>5.15</v>
      </c>
      <c r="E519" s="128">
        <v>7.85</v>
      </c>
    </row>
    <row r="520" spans="2:5" hidden="1" outlineLevel="1" x14ac:dyDescent="0.25">
      <c r="B520" s="128" t="s">
        <v>471</v>
      </c>
      <c r="C520" s="128">
        <v>13.15</v>
      </c>
      <c r="D520" s="128">
        <v>7.15</v>
      </c>
      <c r="E520" s="128">
        <v>6</v>
      </c>
    </row>
    <row r="521" spans="2:5" hidden="1" outlineLevel="1" x14ac:dyDescent="0.25">
      <c r="B521" s="128" t="s">
        <v>471</v>
      </c>
      <c r="C521" s="128">
        <v>13.15</v>
      </c>
      <c r="D521" s="128">
        <v>5.15</v>
      </c>
      <c r="E521" s="128">
        <v>8</v>
      </c>
    </row>
    <row r="522" spans="2:5" hidden="1" outlineLevel="1" x14ac:dyDescent="0.25">
      <c r="B522" s="128" t="s">
        <v>471</v>
      </c>
      <c r="C522" s="128">
        <v>13.3</v>
      </c>
      <c r="D522" s="128">
        <v>5.15</v>
      </c>
      <c r="E522" s="128">
        <v>8.15</v>
      </c>
    </row>
    <row r="523" spans="2:5" hidden="1" outlineLevel="1" x14ac:dyDescent="0.25">
      <c r="B523" s="128" t="s">
        <v>471</v>
      </c>
      <c r="C523" s="128">
        <v>13.3</v>
      </c>
      <c r="D523" s="128">
        <v>7.15</v>
      </c>
      <c r="E523" s="128">
        <v>6.15</v>
      </c>
    </row>
    <row r="524" spans="2:5" hidden="1" outlineLevel="1" x14ac:dyDescent="0.25">
      <c r="B524" s="128" t="s">
        <v>471</v>
      </c>
      <c r="C524" s="128">
        <v>13.3</v>
      </c>
      <c r="D524" s="128">
        <v>7.15</v>
      </c>
      <c r="E524" s="128">
        <v>6.15</v>
      </c>
    </row>
    <row r="525" spans="2:5" hidden="1" outlineLevel="1" x14ac:dyDescent="0.25">
      <c r="B525" s="128" t="s">
        <v>471</v>
      </c>
      <c r="C525" s="128">
        <v>13.3</v>
      </c>
      <c r="D525" s="128">
        <v>7.15</v>
      </c>
      <c r="E525" s="128">
        <v>6.15</v>
      </c>
    </row>
    <row r="526" spans="2:5" hidden="1" outlineLevel="1" x14ac:dyDescent="0.25">
      <c r="B526" s="128" t="s">
        <v>471</v>
      </c>
      <c r="C526" s="128">
        <v>13.45</v>
      </c>
      <c r="D526" s="128">
        <v>7.15</v>
      </c>
      <c r="E526" s="128">
        <v>6.3</v>
      </c>
    </row>
    <row r="527" spans="2:5" hidden="1" outlineLevel="1" x14ac:dyDescent="0.25">
      <c r="B527" s="128" t="s">
        <v>471</v>
      </c>
      <c r="C527" s="128">
        <v>13.1</v>
      </c>
      <c r="D527" s="128">
        <v>5.15</v>
      </c>
      <c r="E527" s="128">
        <v>7.95</v>
      </c>
    </row>
    <row r="528" spans="2:5" hidden="1" outlineLevel="1" x14ac:dyDescent="0.25">
      <c r="B528" s="128" t="s">
        <v>472</v>
      </c>
      <c r="C528" s="128">
        <v>14.93</v>
      </c>
      <c r="D528" s="128">
        <v>3.3</v>
      </c>
      <c r="E528" s="128">
        <v>11.63</v>
      </c>
    </row>
    <row r="529" spans="2:5" hidden="1" outlineLevel="1" x14ac:dyDescent="0.25">
      <c r="B529" s="128" t="s">
        <v>474</v>
      </c>
      <c r="C529" s="128">
        <v>10.7</v>
      </c>
      <c r="D529" s="128">
        <v>8.6999999999999993</v>
      </c>
      <c r="E529" s="128">
        <v>2</v>
      </c>
    </row>
    <row r="530" spans="2:5" hidden="1" outlineLevel="1" x14ac:dyDescent="0.25">
      <c r="B530" s="128" t="s">
        <v>474</v>
      </c>
      <c r="C530" s="128">
        <v>10.7</v>
      </c>
      <c r="D530" s="128">
        <v>5.35</v>
      </c>
      <c r="E530" s="128">
        <v>5.35</v>
      </c>
    </row>
    <row r="531" spans="2:5" hidden="1" outlineLevel="1" x14ac:dyDescent="0.25">
      <c r="B531" s="128" t="s">
        <v>474</v>
      </c>
      <c r="C531" s="128">
        <v>10.7</v>
      </c>
      <c r="D531" s="128">
        <v>8.6999999999999993</v>
      </c>
      <c r="E531" s="128">
        <v>2</v>
      </c>
    </row>
    <row r="532" spans="2:5" hidden="1" outlineLevel="1" x14ac:dyDescent="0.25">
      <c r="B532" s="128" t="s">
        <v>474</v>
      </c>
      <c r="C532" s="128">
        <v>10.7</v>
      </c>
      <c r="D532" s="128">
        <v>8.6999999999999993</v>
      </c>
      <c r="E532" s="128">
        <v>2</v>
      </c>
    </row>
    <row r="533" spans="2:5" hidden="1" outlineLevel="1" x14ac:dyDescent="0.25">
      <c r="B533" s="128" t="s">
        <v>474</v>
      </c>
      <c r="C533" s="128">
        <v>10.7</v>
      </c>
      <c r="D533" s="128">
        <v>8.6999999999999993</v>
      </c>
      <c r="E533" s="128">
        <v>2</v>
      </c>
    </row>
    <row r="534" spans="2:5" hidden="1" outlineLevel="1" x14ac:dyDescent="0.25">
      <c r="B534" s="128" t="s">
        <v>474</v>
      </c>
      <c r="C534" s="128">
        <v>10.7</v>
      </c>
      <c r="D534" s="128">
        <v>5.35</v>
      </c>
      <c r="E534" s="128">
        <v>5.35</v>
      </c>
    </row>
    <row r="535" spans="2:5" hidden="1" outlineLevel="1" x14ac:dyDescent="0.25">
      <c r="B535" s="128" t="s">
        <v>632</v>
      </c>
      <c r="C535" s="128">
        <v>16.13</v>
      </c>
      <c r="D535" s="128">
        <v>2.72</v>
      </c>
      <c r="E535" s="128">
        <v>13.41</v>
      </c>
    </row>
    <row r="536" spans="2:5" hidden="1" outlineLevel="1" x14ac:dyDescent="0.25">
      <c r="B536" s="128" t="s">
        <v>671</v>
      </c>
      <c r="C536" s="128">
        <v>10.8</v>
      </c>
      <c r="D536" s="128">
        <v>2.6</v>
      </c>
      <c r="E536" s="128">
        <v>8.1999999999999993</v>
      </c>
    </row>
    <row r="537" spans="2:5" hidden="1" outlineLevel="1" x14ac:dyDescent="0.25">
      <c r="B537" s="128" t="s">
        <v>377</v>
      </c>
      <c r="C537" s="128">
        <v>11.17</v>
      </c>
      <c r="D537" s="128">
        <v>1.3</v>
      </c>
      <c r="E537" s="128">
        <v>9.8699999999999992</v>
      </c>
    </row>
    <row r="538" spans="2:5" hidden="1" outlineLevel="1" x14ac:dyDescent="0.25">
      <c r="B538" s="128" t="s">
        <v>476</v>
      </c>
      <c r="C538" s="128">
        <v>31.59</v>
      </c>
      <c r="D538" s="128">
        <v>12.71</v>
      </c>
      <c r="E538" s="128">
        <v>18.88</v>
      </c>
    </row>
    <row r="539" spans="2:5" hidden="1" outlineLevel="1" x14ac:dyDescent="0.25">
      <c r="B539" s="128" t="s">
        <v>477</v>
      </c>
      <c r="C539" s="128">
        <v>13</v>
      </c>
      <c r="D539" s="128">
        <v>1.1000000000000001</v>
      </c>
      <c r="E539" s="128">
        <v>11.9</v>
      </c>
    </row>
    <row r="540" spans="2:5" hidden="1" outlineLevel="1" x14ac:dyDescent="0.25">
      <c r="B540" s="128" t="s">
        <v>674</v>
      </c>
      <c r="C540" s="128">
        <v>11.8</v>
      </c>
      <c r="D540" s="128">
        <v>1.1000000000000001</v>
      </c>
      <c r="E540" s="128">
        <v>10.7</v>
      </c>
    </row>
    <row r="541" spans="2:5" hidden="1" outlineLevel="1" x14ac:dyDescent="0.25">
      <c r="B541" s="128" t="s">
        <v>680</v>
      </c>
      <c r="C541" s="128">
        <v>10.119999999999999</v>
      </c>
      <c r="D541" s="128">
        <v>4.8099999999999996</v>
      </c>
      <c r="E541" s="128">
        <v>5.31</v>
      </c>
    </row>
    <row r="542" spans="2:5" hidden="1" outlineLevel="1" x14ac:dyDescent="0.25">
      <c r="B542" s="128" t="s">
        <v>178</v>
      </c>
      <c r="E542" s="128">
        <v>309.60000000000002</v>
      </c>
    </row>
    <row r="543" spans="2:5" hidden="1" outlineLevel="1" x14ac:dyDescent="0.25"/>
    <row r="544" spans="2:5" hidden="1" outlineLevel="1" x14ac:dyDescent="0.25"/>
    <row r="545" spans="2:7" hidden="1" outlineLevel="1" x14ac:dyDescent="0.25"/>
    <row r="546" spans="2:7" hidden="1" outlineLevel="1" x14ac:dyDescent="0.25"/>
    <row r="547" spans="2:7" hidden="1" outlineLevel="1" x14ac:dyDescent="0.25"/>
    <row r="548" spans="2:7" hidden="1" outlineLevel="1" x14ac:dyDescent="0.25"/>
    <row r="549" spans="2:7" hidden="1" outlineLevel="1" x14ac:dyDescent="0.25"/>
    <row r="550" spans="2:7" collapsed="1" x14ac:dyDescent="0.25"/>
    <row r="551" spans="2:7" x14ac:dyDescent="0.25">
      <c r="B551" s="129" t="s">
        <v>355</v>
      </c>
      <c r="C551" s="130"/>
      <c r="D551" s="130"/>
      <c r="E551" s="130"/>
      <c r="F551" s="131"/>
      <c r="G551" s="132"/>
    </row>
    <row r="552" spans="2:7" hidden="1" outlineLevel="1" x14ac:dyDescent="0.25">
      <c r="B552" s="128" t="s">
        <v>356</v>
      </c>
      <c r="C552" s="128" t="s">
        <v>196</v>
      </c>
      <c r="D552" s="128" t="s">
        <v>350</v>
      </c>
    </row>
    <row r="553" spans="2:7" hidden="1" outlineLevel="1" x14ac:dyDescent="0.25">
      <c r="C553" s="128" t="s">
        <v>504</v>
      </c>
      <c r="D553" s="128">
        <v>29.69</v>
      </c>
    </row>
    <row r="554" spans="2:7" hidden="1" outlineLevel="1" x14ac:dyDescent="0.25">
      <c r="C554" s="128" t="s">
        <v>505</v>
      </c>
      <c r="D554" s="128">
        <v>728.1</v>
      </c>
    </row>
    <row r="555" spans="2:7" hidden="1" outlineLevel="1" x14ac:dyDescent="0.25">
      <c r="B555" s="128" t="s">
        <v>234</v>
      </c>
      <c r="C555" s="128" t="s">
        <v>357</v>
      </c>
      <c r="D555" s="128">
        <v>38.03</v>
      </c>
    </row>
    <row r="556" spans="2:7" hidden="1" outlineLevel="1" x14ac:dyDescent="0.25">
      <c r="C556" s="128" t="s">
        <v>506</v>
      </c>
      <c r="D556" s="128">
        <v>1.1499999999999999</v>
      </c>
    </row>
    <row r="557" spans="2:7" hidden="1" outlineLevel="1" x14ac:dyDescent="0.25">
      <c r="C557" s="128" t="s">
        <v>507</v>
      </c>
      <c r="D557" s="128">
        <v>658.84</v>
      </c>
    </row>
    <row r="558" spans="2:7" hidden="1" outlineLevel="1" x14ac:dyDescent="0.25">
      <c r="C558" s="128" t="s">
        <v>508</v>
      </c>
      <c r="D558" s="128">
        <v>21.51</v>
      </c>
    </row>
    <row r="559" spans="2:7" hidden="1" outlineLevel="1" x14ac:dyDescent="0.25">
      <c r="C559" s="128" t="s">
        <v>509</v>
      </c>
      <c r="D559" s="128">
        <v>658.84</v>
      </c>
    </row>
    <row r="560" spans="2:7" hidden="1" outlineLevel="1" x14ac:dyDescent="0.25">
      <c r="C560" s="128" t="s">
        <v>510</v>
      </c>
      <c r="D560" s="128">
        <v>3.35</v>
      </c>
    </row>
    <row r="561" spans="2:4" hidden="1" outlineLevel="1" x14ac:dyDescent="0.25">
      <c r="C561" s="128" t="s">
        <v>511</v>
      </c>
      <c r="D561" s="128">
        <v>198.64</v>
      </c>
    </row>
    <row r="562" spans="2:4" hidden="1" outlineLevel="1" x14ac:dyDescent="0.25">
      <c r="C562" s="128" t="s">
        <v>512</v>
      </c>
      <c r="D562" s="128">
        <v>728.1</v>
      </c>
    </row>
    <row r="563" spans="2:4" hidden="1" outlineLevel="1" x14ac:dyDescent="0.25">
      <c r="C563" s="128" t="s">
        <v>513</v>
      </c>
      <c r="D563" s="128">
        <v>210.9</v>
      </c>
    </row>
    <row r="564" spans="2:4" hidden="1" outlineLevel="1" x14ac:dyDescent="0.25">
      <c r="C564" s="128" t="s">
        <v>514</v>
      </c>
      <c r="D564" s="128">
        <v>94.71</v>
      </c>
    </row>
    <row r="565" spans="2:4" hidden="1" outlineLevel="1" x14ac:dyDescent="0.25">
      <c r="C565" s="128" t="s">
        <v>515</v>
      </c>
      <c r="D565" s="128">
        <v>154.59</v>
      </c>
    </row>
    <row r="566" spans="2:4" hidden="1" outlineLevel="1" x14ac:dyDescent="0.25">
      <c r="B566" s="128">
        <v>84191</v>
      </c>
      <c r="C566" s="128" t="s">
        <v>516</v>
      </c>
      <c r="D566" s="128">
        <v>0.53</v>
      </c>
    </row>
    <row r="567" spans="2:4" hidden="1" outlineLevel="1" x14ac:dyDescent="0.25">
      <c r="C567" s="128" t="s">
        <v>517</v>
      </c>
      <c r="D567" s="128">
        <v>973.44</v>
      </c>
    </row>
    <row r="568" spans="2:4" hidden="1" outlineLevel="1" x14ac:dyDescent="0.25"/>
    <row r="569" spans="2:4" hidden="1" outlineLevel="1" x14ac:dyDescent="0.25">
      <c r="C569" s="128" t="s">
        <v>503</v>
      </c>
      <c r="D569" s="128">
        <v>10</v>
      </c>
    </row>
    <row r="570" spans="2:4" hidden="1" outlineLevel="1" x14ac:dyDescent="0.25">
      <c r="B570" s="128" t="s">
        <v>136</v>
      </c>
      <c r="C570" s="128" t="s">
        <v>228</v>
      </c>
      <c r="D570" s="128">
        <v>5</v>
      </c>
    </row>
    <row r="571" spans="2:4" hidden="1" outlineLevel="1" x14ac:dyDescent="0.25"/>
    <row r="572" spans="2:4" hidden="1" outlineLevel="1" x14ac:dyDescent="0.25"/>
    <row r="573" spans="2:4" hidden="1" outlineLevel="1" x14ac:dyDescent="0.25"/>
    <row r="574" spans="2:4" hidden="1" outlineLevel="1" x14ac:dyDescent="0.25"/>
    <row r="575" spans="2:4" hidden="1" outlineLevel="1" x14ac:dyDescent="0.25"/>
    <row r="576" spans="2:4" hidden="1" outlineLevel="1" x14ac:dyDescent="0.25"/>
    <row r="577" spans="2:7" hidden="1" outlineLevel="1" x14ac:dyDescent="0.25"/>
    <row r="578" spans="2:7" collapsed="1" x14ac:dyDescent="0.25"/>
    <row r="579" spans="2:7" x14ac:dyDescent="0.25">
      <c r="B579" s="129" t="s">
        <v>381</v>
      </c>
      <c r="C579" s="130"/>
      <c r="D579" s="130"/>
      <c r="E579" s="130"/>
      <c r="F579" s="131"/>
      <c r="G579" s="132"/>
    </row>
    <row r="580" spans="2:7" hidden="1" outlineLevel="1" x14ac:dyDescent="0.25">
      <c r="B580" s="128" t="s">
        <v>356</v>
      </c>
      <c r="C580" s="128" t="s">
        <v>382</v>
      </c>
      <c r="D580" s="128" t="s">
        <v>189</v>
      </c>
      <c r="E580"/>
    </row>
    <row r="581" spans="2:7" hidden="1" outlineLevel="1" x14ac:dyDescent="0.25">
      <c r="D581" s="128">
        <v>32</v>
      </c>
      <c r="E581"/>
    </row>
    <row r="582" spans="2:7" hidden="1" outlineLevel="1" x14ac:dyDescent="0.25">
      <c r="B582" s="128" t="s">
        <v>499</v>
      </c>
      <c r="C582" s="128" t="s">
        <v>500</v>
      </c>
      <c r="D582" s="128">
        <v>3</v>
      </c>
      <c r="E582"/>
    </row>
    <row r="583" spans="2:7" hidden="1" outlineLevel="1" x14ac:dyDescent="0.25">
      <c r="B583" s="128" t="s">
        <v>501</v>
      </c>
      <c r="C583" s="128" t="s">
        <v>502</v>
      </c>
      <c r="D583" s="128">
        <v>3</v>
      </c>
      <c r="E583"/>
    </row>
    <row r="584" spans="2:7" hidden="1" outlineLevel="1" x14ac:dyDescent="0.25">
      <c r="B584" s="128" t="s">
        <v>619</v>
      </c>
      <c r="C584" s="128" t="s">
        <v>620</v>
      </c>
      <c r="D584" s="128">
        <v>6</v>
      </c>
      <c r="E584" t="s">
        <v>699</v>
      </c>
    </row>
    <row r="585" spans="2:7" hidden="1" outlineLevel="1" x14ac:dyDescent="0.25">
      <c r="B585" s="128" t="s">
        <v>133</v>
      </c>
      <c r="C585" s="128" t="s">
        <v>621</v>
      </c>
      <c r="D585" s="128">
        <v>6</v>
      </c>
      <c r="E585"/>
    </row>
    <row r="586" spans="2:7" hidden="1" outlineLevel="1" x14ac:dyDescent="0.25">
      <c r="B586" s="128" t="s">
        <v>134</v>
      </c>
      <c r="C586" s="128" t="s">
        <v>358</v>
      </c>
      <c r="D586" s="128">
        <v>9</v>
      </c>
    </row>
    <row r="587" spans="2:7" hidden="1" outlineLevel="1" x14ac:dyDescent="0.25">
      <c r="B587" s="128" t="s">
        <v>135</v>
      </c>
      <c r="C587" s="128" t="s">
        <v>359</v>
      </c>
      <c r="D587" s="128">
        <v>12</v>
      </c>
    </row>
    <row r="588" spans="2:7" hidden="1" outlineLevel="1" x14ac:dyDescent="0.25">
      <c r="B588" s="128" t="s">
        <v>136</v>
      </c>
      <c r="C588" s="128" t="s">
        <v>228</v>
      </c>
      <c r="D588" s="128">
        <v>6</v>
      </c>
    </row>
    <row r="589" spans="2:7" hidden="1" outlineLevel="1" x14ac:dyDescent="0.25">
      <c r="B589" s="128" t="s">
        <v>137</v>
      </c>
      <c r="C589" s="128" t="s">
        <v>686</v>
      </c>
      <c r="D589" s="128">
        <v>6</v>
      </c>
    </row>
    <row r="590" spans="2:7" hidden="1" outlineLevel="1" x14ac:dyDescent="0.25"/>
    <row r="591" spans="2:7" hidden="1" outlineLevel="1" x14ac:dyDescent="0.25"/>
    <row r="592" spans="2:7" hidden="1" outlineLevel="1" x14ac:dyDescent="0.25"/>
    <row r="593" spans="2:7" hidden="1" outlineLevel="1" x14ac:dyDescent="0.25"/>
    <row r="594" spans="2:7" hidden="1" outlineLevel="1" x14ac:dyDescent="0.25"/>
    <row r="595" spans="2:7" hidden="1" outlineLevel="1" x14ac:dyDescent="0.25"/>
    <row r="596" spans="2:7" hidden="1" outlineLevel="1" x14ac:dyDescent="0.25"/>
    <row r="597" spans="2:7" hidden="1" outlineLevel="1" x14ac:dyDescent="0.25"/>
    <row r="598" spans="2:7" hidden="1" outlineLevel="1" x14ac:dyDescent="0.25"/>
    <row r="599" spans="2:7" hidden="1" outlineLevel="1" x14ac:dyDescent="0.25"/>
    <row r="600" spans="2:7" collapsed="1" x14ac:dyDescent="0.25"/>
    <row r="601" spans="2:7" x14ac:dyDescent="0.25">
      <c r="B601" s="129" t="s">
        <v>360</v>
      </c>
      <c r="C601" s="130"/>
      <c r="D601" s="130"/>
      <c r="E601" s="130"/>
      <c r="F601" s="131"/>
      <c r="G601" s="132"/>
    </row>
    <row r="602" spans="2:7" hidden="1" outlineLevel="1" x14ac:dyDescent="0.25">
      <c r="B602" s="128" t="s">
        <v>229</v>
      </c>
      <c r="C602" s="128" t="s">
        <v>354</v>
      </c>
      <c r="D602" s="128" t="s">
        <v>189</v>
      </c>
    </row>
    <row r="603" spans="2:7" hidden="1" outlineLevel="1" x14ac:dyDescent="0.25">
      <c r="D603" s="128">
        <v>14</v>
      </c>
    </row>
    <row r="604" spans="2:7" hidden="1" outlineLevel="1" x14ac:dyDescent="0.25">
      <c r="C604" s="128" t="s">
        <v>489</v>
      </c>
      <c r="D604" s="128">
        <v>6</v>
      </c>
    </row>
    <row r="605" spans="2:7" hidden="1" outlineLevel="1" x14ac:dyDescent="0.25">
      <c r="C605" s="128" t="s">
        <v>490</v>
      </c>
      <c r="D605" s="128">
        <v>13</v>
      </c>
    </row>
    <row r="606" spans="2:7" hidden="1" outlineLevel="1" x14ac:dyDescent="0.25">
      <c r="C606" s="128" t="s">
        <v>491</v>
      </c>
      <c r="D606" s="128">
        <v>1</v>
      </c>
    </row>
    <row r="607" spans="2:7" hidden="1" outlineLevel="1" x14ac:dyDescent="0.25">
      <c r="B607" s="128">
        <v>0</v>
      </c>
      <c r="C607" s="128" t="s">
        <v>361</v>
      </c>
      <c r="D607" s="128">
        <v>2</v>
      </c>
    </row>
    <row r="608" spans="2:7" hidden="1" outlineLevel="1" x14ac:dyDescent="0.25">
      <c r="B608" s="128" t="s">
        <v>128</v>
      </c>
      <c r="C608" s="128" t="s">
        <v>362</v>
      </c>
      <c r="D608" s="128">
        <v>7</v>
      </c>
    </row>
    <row r="609" spans="2:5" hidden="1" outlineLevel="1" x14ac:dyDescent="0.25">
      <c r="C609" s="128" t="s">
        <v>363</v>
      </c>
      <c r="D609" s="128">
        <v>29</v>
      </c>
    </row>
    <row r="610" spans="2:5" hidden="1" outlineLevel="1" x14ac:dyDescent="0.25">
      <c r="B610" s="128" t="s">
        <v>200</v>
      </c>
      <c r="C610" s="128" t="s">
        <v>622</v>
      </c>
      <c r="D610" s="128">
        <v>8</v>
      </c>
    </row>
    <row r="611" spans="2:5" hidden="1" outlineLevel="1" x14ac:dyDescent="0.25">
      <c r="B611" s="128" t="s">
        <v>492</v>
      </c>
      <c r="C611" s="128" t="s">
        <v>493</v>
      </c>
      <c r="D611" s="128">
        <v>10</v>
      </c>
    </row>
    <row r="612" spans="2:5" hidden="1" outlineLevel="1" x14ac:dyDescent="0.25">
      <c r="B612" s="128" t="s">
        <v>629</v>
      </c>
      <c r="C612" s="128" t="s">
        <v>623</v>
      </c>
      <c r="D612" s="128">
        <f>6+23</f>
        <v>29</v>
      </c>
    </row>
    <row r="613" spans="2:5" hidden="1" outlineLevel="1" x14ac:dyDescent="0.25">
      <c r="B613" s="128" t="s">
        <v>364</v>
      </c>
      <c r="C613" s="128" t="s">
        <v>630</v>
      </c>
      <c r="D613" s="128">
        <v>23</v>
      </c>
      <c r="E613" s="128" t="s">
        <v>698</v>
      </c>
    </row>
    <row r="614" spans="2:5" hidden="1" outlineLevel="1" x14ac:dyDescent="0.25">
      <c r="B614" s="128" t="s">
        <v>697</v>
      </c>
      <c r="C614" s="128" t="s">
        <v>687</v>
      </c>
      <c r="D614" s="128">
        <v>1</v>
      </c>
    </row>
    <row r="615" spans="2:5" hidden="1" outlineLevel="1" x14ac:dyDescent="0.25">
      <c r="B615" s="128" t="s">
        <v>486</v>
      </c>
      <c r="C615" s="128" t="s">
        <v>494</v>
      </c>
      <c r="D615" s="128">
        <v>1</v>
      </c>
    </row>
    <row r="616" spans="2:5" hidden="1" outlineLevel="1" x14ac:dyDescent="0.25">
      <c r="B616" s="128" t="s">
        <v>495</v>
      </c>
      <c r="C616" s="128" t="s">
        <v>496</v>
      </c>
      <c r="D616" s="128">
        <v>3</v>
      </c>
    </row>
    <row r="617" spans="2:5" hidden="1" outlineLevel="1" x14ac:dyDescent="0.25">
      <c r="B617" s="128" t="s">
        <v>495</v>
      </c>
      <c r="C617" s="128" t="s">
        <v>624</v>
      </c>
      <c r="D617" s="128">
        <v>6</v>
      </c>
    </row>
    <row r="618" spans="2:5" hidden="1" outlineLevel="1" x14ac:dyDescent="0.25">
      <c r="C618" s="128" t="s">
        <v>365</v>
      </c>
      <c r="D618" s="128">
        <v>29</v>
      </c>
    </row>
    <row r="619" spans="2:5" hidden="1" outlineLevel="1" x14ac:dyDescent="0.25">
      <c r="B619" s="128" t="s">
        <v>625</v>
      </c>
      <c r="C619" s="128" t="s">
        <v>380</v>
      </c>
      <c r="D619" s="128">
        <v>2</v>
      </c>
    </row>
    <row r="620" spans="2:5" hidden="1" outlineLevel="1" x14ac:dyDescent="0.25">
      <c r="B620" s="128">
        <v>0</v>
      </c>
      <c r="C620" s="128" t="s">
        <v>366</v>
      </c>
      <c r="D620" s="128">
        <v>3</v>
      </c>
    </row>
    <row r="621" spans="2:5" hidden="1" outlineLevel="1" x14ac:dyDescent="0.25">
      <c r="C621" s="128" t="s">
        <v>631</v>
      </c>
      <c r="D621" s="128">
        <v>23</v>
      </c>
    </row>
    <row r="622" spans="2:5" hidden="1" outlineLevel="1" x14ac:dyDescent="0.25">
      <c r="C622" s="128" t="s">
        <v>367</v>
      </c>
      <c r="D622" s="128">
        <v>10</v>
      </c>
    </row>
    <row r="623" spans="2:5" hidden="1" outlineLevel="1" x14ac:dyDescent="0.25">
      <c r="B623" s="128" t="s">
        <v>199</v>
      </c>
      <c r="C623" s="128" t="s">
        <v>497</v>
      </c>
      <c r="D623" s="128">
        <v>7</v>
      </c>
    </row>
    <row r="624" spans="2:5" hidden="1" outlineLevel="1" x14ac:dyDescent="0.25">
      <c r="B624" s="128" t="s">
        <v>127</v>
      </c>
      <c r="C624" s="128" t="s">
        <v>498</v>
      </c>
      <c r="D624" s="128">
        <v>6</v>
      </c>
    </row>
    <row r="625" spans="2:7" hidden="1" outlineLevel="1" x14ac:dyDescent="0.25">
      <c r="C625" s="128" t="s">
        <v>368</v>
      </c>
      <c r="D625" s="128">
        <v>29</v>
      </c>
    </row>
    <row r="626" spans="2:7" hidden="1" outlineLevel="1" x14ac:dyDescent="0.25"/>
    <row r="627" spans="2:7" hidden="1" outlineLevel="1" x14ac:dyDescent="0.25"/>
    <row r="628" spans="2:7" hidden="1" outlineLevel="1" x14ac:dyDescent="0.25"/>
    <row r="629" spans="2:7" hidden="1" outlineLevel="1" x14ac:dyDescent="0.25"/>
    <row r="630" spans="2:7" hidden="1" outlineLevel="1" x14ac:dyDescent="0.25"/>
    <row r="631" spans="2:7" hidden="1" outlineLevel="1" x14ac:dyDescent="0.25"/>
    <row r="632" spans="2:7" hidden="1" outlineLevel="1" x14ac:dyDescent="0.25"/>
    <row r="633" spans="2:7" hidden="1" outlineLevel="1" x14ac:dyDescent="0.25"/>
    <row r="634" spans="2:7" hidden="1" outlineLevel="1" x14ac:dyDescent="0.25"/>
    <row r="635" spans="2:7" collapsed="1" x14ac:dyDescent="0.25"/>
    <row r="636" spans="2:7" x14ac:dyDescent="0.25">
      <c r="B636" s="129" t="s">
        <v>230</v>
      </c>
      <c r="C636" s="130"/>
      <c r="D636" s="130"/>
      <c r="E636" s="130"/>
      <c r="F636" s="131"/>
      <c r="G636" s="132"/>
    </row>
    <row r="637" spans="2:7" hidden="1" outlineLevel="1" x14ac:dyDescent="0.25">
      <c r="B637" s="128" t="s">
        <v>148</v>
      </c>
      <c r="C637" s="128" t="s">
        <v>176</v>
      </c>
    </row>
    <row r="638" spans="2:7" hidden="1" outlineLevel="1" x14ac:dyDescent="0.25">
      <c r="B638" s="128" t="s">
        <v>661</v>
      </c>
      <c r="C638" s="128">
        <v>7.88</v>
      </c>
    </row>
    <row r="639" spans="2:7" hidden="1" outlineLevel="1" x14ac:dyDescent="0.25">
      <c r="B639" s="128" t="s">
        <v>662</v>
      </c>
      <c r="C639" s="128">
        <v>9.9</v>
      </c>
    </row>
    <row r="640" spans="2:7" hidden="1" outlineLevel="1" x14ac:dyDescent="0.25">
      <c r="B640" s="128" t="s">
        <v>465</v>
      </c>
      <c r="C640" s="128">
        <v>6.06</v>
      </c>
    </row>
    <row r="641" spans="2:3" hidden="1" outlineLevel="1" x14ac:dyDescent="0.25">
      <c r="B641" s="128" t="s">
        <v>663</v>
      </c>
      <c r="C641" s="128">
        <v>23.19</v>
      </c>
    </row>
    <row r="642" spans="2:3" hidden="1" outlineLevel="1" x14ac:dyDescent="0.25">
      <c r="B642" s="128" t="s">
        <v>664</v>
      </c>
      <c r="C642" s="128">
        <v>33.11</v>
      </c>
    </row>
    <row r="643" spans="2:3" hidden="1" outlineLevel="1" x14ac:dyDescent="0.25">
      <c r="B643" s="128" t="s">
        <v>665</v>
      </c>
      <c r="C643" s="128">
        <v>22.35</v>
      </c>
    </row>
    <row r="644" spans="2:3" hidden="1" outlineLevel="1" x14ac:dyDescent="0.25">
      <c r="B644" s="128" t="s">
        <v>666</v>
      </c>
      <c r="C644" s="128">
        <v>108.83</v>
      </c>
    </row>
    <row r="645" spans="2:3" hidden="1" outlineLevel="1" x14ac:dyDescent="0.25">
      <c r="B645" s="128" t="s">
        <v>667</v>
      </c>
      <c r="C645" s="128">
        <v>8.64</v>
      </c>
    </row>
    <row r="646" spans="2:3" hidden="1" outlineLevel="1" x14ac:dyDescent="0.25">
      <c r="B646" s="128" t="s">
        <v>668</v>
      </c>
      <c r="C646" s="128">
        <v>8.64</v>
      </c>
    </row>
    <row r="647" spans="2:3" hidden="1" outlineLevel="1" x14ac:dyDescent="0.25">
      <c r="B647" s="128" t="s">
        <v>203</v>
      </c>
      <c r="C647" s="128">
        <v>11.16</v>
      </c>
    </row>
    <row r="648" spans="2:3" hidden="1" outlineLevel="1" x14ac:dyDescent="0.25">
      <c r="B648" s="128" t="s">
        <v>203</v>
      </c>
      <c r="C648" s="128">
        <v>4.5</v>
      </c>
    </row>
    <row r="649" spans="2:3" hidden="1" outlineLevel="1" x14ac:dyDescent="0.25">
      <c r="B649" s="128" t="s">
        <v>669</v>
      </c>
      <c r="C649" s="128">
        <v>8.14</v>
      </c>
    </row>
    <row r="650" spans="2:3" hidden="1" outlineLevel="1" x14ac:dyDescent="0.25">
      <c r="B650" s="128" t="s">
        <v>469</v>
      </c>
      <c r="C650" s="128">
        <v>11.02</v>
      </c>
    </row>
    <row r="651" spans="2:3" hidden="1" outlineLevel="1" x14ac:dyDescent="0.25">
      <c r="B651" s="128" t="s">
        <v>351</v>
      </c>
      <c r="C651" s="128">
        <v>2.86</v>
      </c>
    </row>
    <row r="652" spans="2:3" hidden="1" outlineLevel="1" x14ac:dyDescent="0.25">
      <c r="B652" s="128" t="s">
        <v>351</v>
      </c>
      <c r="C652" s="128">
        <v>2.2599999999999998</v>
      </c>
    </row>
    <row r="653" spans="2:3" hidden="1" outlineLevel="1" x14ac:dyDescent="0.25">
      <c r="B653" s="128" t="s">
        <v>470</v>
      </c>
      <c r="C653" s="128">
        <v>2.2000000000000002</v>
      </c>
    </row>
    <row r="654" spans="2:3" hidden="1" outlineLevel="1" x14ac:dyDescent="0.25">
      <c r="B654" s="128" t="s">
        <v>670</v>
      </c>
      <c r="C654" s="128">
        <v>1.0900000000000001</v>
      </c>
    </row>
    <row r="655" spans="2:3" hidden="1" outlineLevel="1" x14ac:dyDescent="0.25">
      <c r="B655" s="128" t="s">
        <v>471</v>
      </c>
      <c r="C655" s="128">
        <v>10.8</v>
      </c>
    </row>
    <row r="656" spans="2:3" hidden="1" outlineLevel="1" x14ac:dyDescent="0.25">
      <c r="B656" s="128" t="s">
        <v>471</v>
      </c>
      <c r="C656" s="128">
        <v>10.8</v>
      </c>
    </row>
    <row r="657" spans="2:3" hidden="1" outlineLevel="1" x14ac:dyDescent="0.25">
      <c r="B657" s="128" t="s">
        <v>471</v>
      </c>
      <c r="C657" s="128">
        <v>10.5</v>
      </c>
    </row>
    <row r="658" spans="2:3" hidden="1" outlineLevel="1" x14ac:dyDescent="0.25">
      <c r="B658" s="128" t="s">
        <v>471</v>
      </c>
      <c r="C658" s="128">
        <v>10.8</v>
      </c>
    </row>
    <row r="659" spans="2:3" hidden="1" outlineLevel="1" x14ac:dyDescent="0.25">
      <c r="B659" s="128" t="s">
        <v>471</v>
      </c>
      <c r="C659" s="128">
        <v>10.8</v>
      </c>
    </row>
    <row r="660" spans="2:3" hidden="1" outlineLevel="1" x14ac:dyDescent="0.25">
      <c r="B660" s="128" t="s">
        <v>471</v>
      </c>
      <c r="C660" s="128">
        <v>10.95</v>
      </c>
    </row>
    <row r="661" spans="2:3" hidden="1" outlineLevel="1" x14ac:dyDescent="0.25">
      <c r="B661" s="128" t="s">
        <v>471</v>
      </c>
      <c r="C661" s="128">
        <v>10.65</v>
      </c>
    </row>
    <row r="662" spans="2:3" hidden="1" outlineLevel="1" x14ac:dyDescent="0.25">
      <c r="B662" s="128" t="s">
        <v>471</v>
      </c>
      <c r="C662" s="128">
        <v>10.65</v>
      </c>
    </row>
    <row r="663" spans="2:3" hidden="1" outlineLevel="1" x14ac:dyDescent="0.25">
      <c r="B663" s="128" t="s">
        <v>471</v>
      </c>
      <c r="C663" s="128">
        <v>10.96</v>
      </c>
    </row>
    <row r="664" spans="2:3" hidden="1" outlineLevel="1" x14ac:dyDescent="0.25">
      <c r="B664" s="128" t="s">
        <v>472</v>
      </c>
      <c r="C664" s="128">
        <v>14.35</v>
      </c>
    </row>
    <row r="665" spans="2:3" hidden="1" outlineLevel="1" x14ac:dyDescent="0.25">
      <c r="B665" s="128" t="s">
        <v>473</v>
      </c>
      <c r="C665" s="128">
        <v>21.54</v>
      </c>
    </row>
    <row r="666" spans="2:3" hidden="1" outlineLevel="1" x14ac:dyDescent="0.25">
      <c r="B666" s="128" t="s">
        <v>474</v>
      </c>
      <c r="C666" s="128">
        <v>6.7</v>
      </c>
    </row>
    <row r="667" spans="2:3" hidden="1" outlineLevel="1" x14ac:dyDescent="0.25">
      <c r="B667" s="128" t="s">
        <v>474</v>
      </c>
      <c r="C667" s="128">
        <v>6.7</v>
      </c>
    </row>
    <row r="668" spans="2:3" hidden="1" outlineLevel="1" x14ac:dyDescent="0.25">
      <c r="B668" s="128" t="s">
        <v>474</v>
      </c>
      <c r="C668" s="128">
        <v>6.7</v>
      </c>
    </row>
    <row r="669" spans="2:3" hidden="1" outlineLevel="1" x14ac:dyDescent="0.25">
      <c r="B669" s="128" t="s">
        <v>474</v>
      </c>
      <c r="C669" s="128">
        <v>6.7</v>
      </c>
    </row>
    <row r="670" spans="2:3" hidden="1" outlineLevel="1" x14ac:dyDescent="0.25">
      <c r="B670" s="128" t="s">
        <v>474</v>
      </c>
      <c r="C670" s="128">
        <v>6.7</v>
      </c>
    </row>
    <row r="671" spans="2:3" hidden="1" outlineLevel="1" x14ac:dyDescent="0.25">
      <c r="B671" s="128" t="s">
        <v>474</v>
      </c>
      <c r="C671" s="128">
        <v>6.7</v>
      </c>
    </row>
    <row r="672" spans="2:3" hidden="1" outlineLevel="1" x14ac:dyDescent="0.25">
      <c r="B672" s="128" t="s">
        <v>632</v>
      </c>
      <c r="C672" s="128">
        <v>16.559999999999999</v>
      </c>
    </row>
    <row r="673" spans="2:3" hidden="1" outlineLevel="1" x14ac:dyDescent="0.25">
      <c r="B673" s="128" t="s">
        <v>671</v>
      </c>
      <c r="C673" s="128">
        <v>6.55</v>
      </c>
    </row>
    <row r="674" spans="2:3" hidden="1" outlineLevel="1" x14ac:dyDescent="0.25">
      <c r="B674" s="128" t="s">
        <v>672</v>
      </c>
      <c r="C674" s="128">
        <v>10.51</v>
      </c>
    </row>
    <row r="675" spans="2:3" hidden="1" outlineLevel="1" x14ac:dyDescent="0.25">
      <c r="B675" s="128" t="s">
        <v>475</v>
      </c>
      <c r="C675" s="128">
        <v>7.97</v>
      </c>
    </row>
    <row r="676" spans="2:3" hidden="1" outlineLevel="1" x14ac:dyDescent="0.25">
      <c r="B676" s="128" t="s">
        <v>377</v>
      </c>
      <c r="C676" s="128">
        <v>7.2</v>
      </c>
    </row>
    <row r="677" spans="2:3" hidden="1" outlineLevel="1" x14ac:dyDescent="0.25">
      <c r="B677" s="128" t="s">
        <v>673</v>
      </c>
      <c r="C677" s="128">
        <v>10.45</v>
      </c>
    </row>
    <row r="678" spans="2:3" hidden="1" outlineLevel="1" x14ac:dyDescent="0.25">
      <c r="B678" s="128" t="s">
        <v>476</v>
      </c>
      <c r="C678" s="128">
        <v>31.86</v>
      </c>
    </row>
    <row r="679" spans="2:3" hidden="1" outlineLevel="1" x14ac:dyDescent="0.25">
      <c r="B679" s="128" t="s">
        <v>477</v>
      </c>
      <c r="C679" s="128">
        <v>10.51</v>
      </c>
    </row>
    <row r="680" spans="2:3" hidden="1" outlineLevel="1" x14ac:dyDescent="0.25">
      <c r="B680" s="128" t="s">
        <v>674</v>
      </c>
      <c r="C680" s="128">
        <v>8.64</v>
      </c>
    </row>
    <row r="681" spans="2:3" hidden="1" outlineLevel="1" x14ac:dyDescent="0.25">
      <c r="B681" s="128" t="s">
        <v>478</v>
      </c>
      <c r="C681" s="128">
        <v>4.3</v>
      </c>
    </row>
    <row r="682" spans="2:3" hidden="1" outlineLevel="1" x14ac:dyDescent="0.25">
      <c r="B682" s="128" t="s">
        <v>478</v>
      </c>
      <c r="C682" s="128">
        <v>5.87</v>
      </c>
    </row>
    <row r="683" spans="2:3" hidden="1" outlineLevel="1" x14ac:dyDescent="0.25">
      <c r="B683" s="128" t="s">
        <v>479</v>
      </c>
      <c r="C683" s="128">
        <v>10.76</v>
      </c>
    </row>
    <row r="684" spans="2:3" hidden="1" outlineLevel="1" x14ac:dyDescent="0.25">
      <c r="B684" s="128" t="s">
        <v>480</v>
      </c>
      <c r="C684" s="128">
        <v>10.77</v>
      </c>
    </row>
    <row r="685" spans="2:3" hidden="1" outlineLevel="1" x14ac:dyDescent="0.25">
      <c r="B685" s="128" t="s">
        <v>675</v>
      </c>
      <c r="C685" s="128">
        <v>3.35</v>
      </c>
    </row>
    <row r="686" spans="2:3" hidden="1" outlineLevel="1" x14ac:dyDescent="0.25">
      <c r="B686" s="128" t="s">
        <v>676</v>
      </c>
      <c r="C686" s="128">
        <v>3.35</v>
      </c>
    </row>
    <row r="687" spans="2:3" hidden="1" outlineLevel="1" x14ac:dyDescent="0.25">
      <c r="B687" s="128" t="s">
        <v>481</v>
      </c>
      <c r="C687" s="128">
        <v>5.43</v>
      </c>
    </row>
    <row r="688" spans="2:3" hidden="1" outlineLevel="1" x14ac:dyDescent="0.25">
      <c r="B688" s="128" t="s">
        <v>482</v>
      </c>
      <c r="C688" s="128">
        <v>5.0999999999999996</v>
      </c>
    </row>
    <row r="689" spans="2:7" hidden="1" outlineLevel="1" x14ac:dyDescent="0.25">
      <c r="B689" s="128" t="s">
        <v>483</v>
      </c>
      <c r="C689" s="128">
        <v>5.0999999999999996</v>
      </c>
    </row>
    <row r="690" spans="2:7" hidden="1" outlineLevel="1" x14ac:dyDescent="0.25">
      <c r="B690" s="128" t="s">
        <v>677</v>
      </c>
      <c r="C690" s="128">
        <v>3.4</v>
      </c>
    </row>
    <row r="691" spans="2:7" hidden="1" outlineLevel="1" x14ac:dyDescent="0.25">
      <c r="B691" s="128" t="s">
        <v>678</v>
      </c>
      <c r="C691" s="128">
        <v>3.4</v>
      </c>
    </row>
    <row r="692" spans="2:7" hidden="1" outlineLevel="1" x14ac:dyDescent="0.25">
      <c r="B692" s="128" t="s">
        <v>679</v>
      </c>
      <c r="C692" s="128">
        <v>4.21</v>
      </c>
    </row>
    <row r="693" spans="2:7" hidden="1" outlineLevel="1" x14ac:dyDescent="0.25">
      <c r="B693" s="128" t="s">
        <v>680</v>
      </c>
      <c r="C693" s="128">
        <v>6.59</v>
      </c>
    </row>
    <row r="694" spans="2:7" hidden="1" outlineLevel="1" x14ac:dyDescent="0.25">
      <c r="B694" s="128" t="s">
        <v>254</v>
      </c>
      <c r="C694" s="128">
        <v>21.03</v>
      </c>
    </row>
    <row r="695" spans="2:7" hidden="1" outlineLevel="1" x14ac:dyDescent="0.25">
      <c r="B695" s="128" t="s">
        <v>683</v>
      </c>
      <c r="C695" s="128">
        <v>647.71</v>
      </c>
    </row>
    <row r="696" spans="2:7" hidden="1" outlineLevel="1" x14ac:dyDescent="0.25"/>
    <row r="697" spans="2:7" hidden="1" outlineLevel="1" x14ac:dyDescent="0.25"/>
    <row r="698" spans="2:7" hidden="1" outlineLevel="1" x14ac:dyDescent="0.25"/>
    <row r="699" spans="2:7" hidden="1" outlineLevel="1" x14ac:dyDescent="0.25"/>
    <row r="700" spans="2:7" hidden="1" outlineLevel="1" x14ac:dyDescent="0.25"/>
    <row r="701" spans="2:7" hidden="1" outlineLevel="1" x14ac:dyDescent="0.25"/>
    <row r="702" spans="2:7" collapsed="1" x14ac:dyDescent="0.25"/>
    <row r="703" spans="2:7" x14ac:dyDescent="0.25">
      <c r="B703" s="129" t="s">
        <v>231</v>
      </c>
      <c r="C703" s="130"/>
      <c r="D703" s="130"/>
      <c r="E703" s="130"/>
      <c r="F703" s="131"/>
      <c r="G703" s="132"/>
    </row>
    <row r="704" spans="2:7" hidden="1" outlineLevel="1" x14ac:dyDescent="0.25">
      <c r="B704" s="128" t="s">
        <v>148</v>
      </c>
      <c r="C704" s="128" t="s">
        <v>235</v>
      </c>
      <c r="D704" s="128" t="s">
        <v>175</v>
      </c>
      <c r="E704" s="128" t="s">
        <v>236</v>
      </c>
      <c r="F704" s="128" t="s">
        <v>186</v>
      </c>
      <c r="G704" s="128" t="s">
        <v>237</v>
      </c>
    </row>
    <row r="705" spans="2:7" hidden="1" outlineLevel="1" x14ac:dyDescent="0.25">
      <c r="B705" s="128" t="s">
        <v>661</v>
      </c>
      <c r="C705" s="128">
        <v>11.5</v>
      </c>
      <c r="D705" s="128">
        <v>1.2</v>
      </c>
      <c r="E705" s="128">
        <v>13.81</v>
      </c>
      <c r="F705" s="128">
        <v>0.44</v>
      </c>
      <c r="G705" s="128">
        <v>13.37</v>
      </c>
    </row>
    <row r="706" spans="2:7" hidden="1" outlineLevel="1" x14ac:dyDescent="0.25">
      <c r="B706" s="128" t="s">
        <v>662</v>
      </c>
      <c r="C706" s="128">
        <v>12.93</v>
      </c>
      <c r="D706" s="128">
        <v>3</v>
      </c>
      <c r="E706" s="128">
        <v>38.78</v>
      </c>
      <c r="F706" s="128">
        <v>1.89</v>
      </c>
      <c r="G706" s="128">
        <v>36.89</v>
      </c>
    </row>
    <row r="707" spans="2:7" hidden="1" outlineLevel="1" x14ac:dyDescent="0.25">
      <c r="B707" s="128" t="s">
        <v>465</v>
      </c>
      <c r="C707" s="128">
        <v>9.92</v>
      </c>
      <c r="D707" s="128">
        <v>3</v>
      </c>
      <c r="E707" s="128">
        <v>29.77</v>
      </c>
      <c r="F707" s="128">
        <v>2.52</v>
      </c>
      <c r="G707" s="128">
        <v>27.25</v>
      </c>
    </row>
    <row r="708" spans="2:7" hidden="1" outlineLevel="1" x14ac:dyDescent="0.25">
      <c r="B708" s="128" t="s">
        <v>665</v>
      </c>
      <c r="C708" s="128">
        <v>34.409999999999997</v>
      </c>
      <c r="D708" s="128">
        <v>3</v>
      </c>
      <c r="E708" s="128">
        <v>103.24</v>
      </c>
      <c r="F708" s="128">
        <v>17.07</v>
      </c>
      <c r="G708" s="128">
        <v>86.17</v>
      </c>
    </row>
    <row r="709" spans="2:7" hidden="1" outlineLevel="1" x14ac:dyDescent="0.25">
      <c r="B709" s="128" t="s">
        <v>668</v>
      </c>
      <c r="C709" s="128">
        <v>11.8</v>
      </c>
      <c r="D709" s="128">
        <v>3</v>
      </c>
      <c r="E709" s="128">
        <v>35.4</v>
      </c>
      <c r="F709" s="128">
        <v>2.1</v>
      </c>
      <c r="G709" s="128">
        <v>33.299999999999997</v>
      </c>
    </row>
    <row r="710" spans="2:7" hidden="1" outlineLevel="1" x14ac:dyDescent="0.25">
      <c r="B710" s="128" t="s">
        <v>203</v>
      </c>
      <c r="C710" s="128">
        <v>13.57</v>
      </c>
      <c r="D710" s="128">
        <v>1.2</v>
      </c>
      <c r="E710" s="128">
        <v>16.28</v>
      </c>
      <c r="F710" s="128">
        <v>1.49</v>
      </c>
      <c r="G710" s="128">
        <v>14.79</v>
      </c>
    </row>
    <row r="711" spans="2:7" hidden="1" outlineLevel="1" x14ac:dyDescent="0.25">
      <c r="B711" s="128" t="s">
        <v>203</v>
      </c>
      <c r="C711" s="128">
        <v>8.5</v>
      </c>
      <c r="D711" s="128">
        <v>1.2</v>
      </c>
      <c r="E711" s="128">
        <v>10.210000000000001</v>
      </c>
      <c r="F711" s="128">
        <v>0.24</v>
      </c>
      <c r="G711" s="128">
        <v>9.9700000000000006</v>
      </c>
    </row>
    <row r="712" spans="2:7" hidden="1" outlineLevel="1" x14ac:dyDescent="0.25">
      <c r="B712" s="128" t="s">
        <v>669</v>
      </c>
      <c r="C712" s="128">
        <v>12.4</v>
      </c>
      <c r="D712" s="128">
        <v>3</v>
      </c>
      <c r="E712" s="128">
        <v>37.21</v>
      </c>
      <c r="F712" s="128">
        <v>1.68</v>
      </c>
      <c r="G712" s="128">
        <v>35.53</v>
      </c>
    </row>
    <row r="713" spans="2:7" hidden="1" outlineLevel="1" x14ac:dyDescent="0.25">
      <c r="B713" s="128" t="s">
        <v>469</v>
      </c>
      <c r="C713" s="128">
        <v>13.76</v>
      </c>
      <c r="D713" s="128">
        <v>3</v>
      </c>
      <c r="E713" s="128">
        <v>41.28</v>
      </c>
      <c r="F713" s="128">
        <v>3.38</v>
      </c>
      <c r="G713" s="128">
        <v>37.9</v>
      </c>
    </row>
    <row r="714" spans="2:7" hidden="1" outlineLevel="1" x14ac:dyDescent="0.25">
      <c r="B714" s="128" t="s">
        <v>351</v>
      </c>
      <c r="C714" s="128">
        <v>6.98</v>
      </c>
      <c r="D714" s="128">
        <v>1.2</v>
      </c>
      <c r="E714" s="128">
        <v>8.3800000000000008</v>
      </c>
      <c r="F714" s="128">
        <v>0.24</v>
      </c>
      <c r="G714" s="128">
        <v>8.14</v>
      </c>
    </row>
    <row r="715" spans="2:7" hidden="1" outlineLevel="1" x14ac:dyDescent="0.25">
      <c r="B715" s="128" t="s">
        <v>351</v>
      </c>
      <c r="C715" s="128">
        <v>6.4</v>
      </c>
      <c r="D715" s="128">
        <v>1.2</v>
      </c>
      <c r="E715" s="128">
        <v>7.68</v>
      </c>
      <c r="F715" s="128">
        <v>0.24</v>
      </c>
      <c r="G715" s="128">
        <v>7.44</v>
      </c>
    </row>
    <row r="716" spans="2:7" hidden="1" outlineLevel="1" x14ac:dyDescent="0.25">
      <c r="B716" s="128" t="s">
        <v>470</v>
      </c>
      <c r="C716" s="128">
        <v>6.2</v>
      </c>
      <c r="D716" s="128">
        <v>1.2</v>
      </c>
      <c r="E716" s="128">
        <v>7.44</v>
      </c>
      <c r="F716" s="128">
        <v>0.24</v>
      </c>
      <c r="G716" s="128">
        <v>7.2</v>
      </c>
    </row>
    <row r="717" spans="2:7" hidden="1" outlineLevel="1" x14ac:dyDescent="0.25">
      <c r="B717" s="128" t="s">
        <v>473</v>
      </c>
      <c r="C717" s="128">
        <v>19.3</v>
      </c>
      <c r="D717" s="128">
        <v>1.2</v>
      </c>
      <c r="E717" s="128">
        <v>23.17</v>
      </c>
      <c r="F717" s="128">
        <v>0.72</v>
      </c>
      <c r="G717" s="128">
        <v>22.45</v>
      </c>
    </row>
    <row r="718" spans="2:7" hidden="1" outlineLevel="1" x14ac:dyDescent="0.25">
      <c r="B718" s="128" t="s">
        <v>672</v>
      </c>
      <c r="C718" s="128">
        <v>13</v>
      </c>
      <c r="D718" s="128">
        <v>1.2</v>
      </c>
      <c r="E718" s="128">
        <v>15.61</v>
      </c>
      <c r="F718" s="128">
        <v>0.44</v>
      </c>
      <c r="G718" s="128">
        <v>15.17</v>
      </c>
    </row>
    <row r="719" spans="2:7" hidden="1" outlineLevel="1" x14ac:dyDescent="0.25">
      <c r="B719" s="128" t="s">
        <v>475</v>
      </c>
      <c r="C719" s="128">
        <v>11.97</v>
      </c>
      <c r="D719" s="128">
        <v>3</v>
      </c>
      <c r="E719" s="128">
        <v>35.909999999999997</v>
      </c>
      <c r="F719" s="128">
        <v>2.75</v>
      </c>
      <c r="G719" s="128">
        <v>33.159999999999997</v>
      </c>
    </row>
    <row r="720" spans="2:7" hidden="1" outlineLevel="1" x14ac:dyDescent="0.25">
      <c r="B720" s="128" t="s">
        <v>377</v>
      </c>
      <c r="C720" s="128">
        <v>11.17</v>
      </c>
      <c r="D720" s="128">
        <v>3</v>
      </c>
      <c r="E720" s="128">
        <v>33.51</v>
      </c>
      <c r="F720" s="128">
        <v>12.64</v>
      </c>
      <c r="G720" s="128">
        <v>20.87</v>
      </c>
    </row>
    <row r="721" spans="2:7" hidden="1" outlineLevel="1" x14ac:dyDescent="0.25">
      <c r="B721" s="128" t="s">
        <v>673</v>
      </c>
      <c r="C721" s="128">
        <v>13</v>
      </c>
      <c r="D721" s="128">
        <v>3</v>
      </c>
      <c r="E721" s="128">
        <v>39.01</v>
      </c>
      <c r="F721" s="128">
        <v>1.47</v>
      </c>
      <c r="G721" s="128">
        <v>37.54</v>
      </c>
    </row>
    <row r="722" spans="2:7" hidden="1" outlineLevel="1" x14ac:dyDescent="0.25">
      <c r="B722" s="128" t="s">
        <v>476</v>
      </c>
      <c r="C722" s="128">
        <v>31.59</v>
      </c>
      <c r="D722" s="128">
        <v>3</v>
      </c>
      <c r="E722" s="128">
        <v>94.77</v>
      </c>
      <c r="F722" s="128">
        <v>47.99</v>
      </c>
      <c r="G722" s="128">
        <v>46.78</v>
      </c>
    </row>
    <row r="723" spans="2:7" hidden="1" outlineLevel="1" x14ac:dyDescent="0.25">
      <c r="B723" s="128" t="s">
        <v>477</v>
      </c>
      <c r="C723" s="128">
        <v>13</v>
      </c>
      <c r="D723" s="128">
        <v>3</v>
      </c>
      <c r="E723" s="128">
        <v>39.01</v>
      </c>
      <c r="F723" s="128">
        <v>3.61</v>
      </c>
      <c r="G723" s="128">
        <v>35.4</v>
      </c>
    </row>
    <row r="724" spans="2:7" hidden="1" outlineLevel="1" x14ac:dyDescent="0.25">
      <c r="B724" s="128" t="s">
        <v>674</v>
      </c>
      <c r="C724" s="128">
        <v>11.8</v>
      </c>
      <c r="D724" s="128">
        <v>3</v>
      </c>
      <c r="E724" s="128">
        <v>35.4</v>
      </c>
      <c r="F724" s="128">
        <v>2.31</v>
      </c>
      <c r="G724" s="128">
        <v>33.090000000000003</v>
      </c>
    </row>
    <row r="725" spans="2:7" hidden="1" outlineLevel="1" x14ac:dyDescent="0.25">
      <c r="B725" s="128" t="s">
        <v>478</v>
      </c>
      <c r="C725" s="128">
        <v>8.3000000000000007</v>
      </c>
      <c r="D725" s="128">
        <v>3</v>
      </c>
      <c r="E725" s="128">
        <v>24.9</v>
      </c>
      <c r="F725" s="128">
        <v>1.68</v>
      </c>
      <c r="G725" s="128">
        <v>23.22</v>
      </c>
    </row>
    <row r="726" spans="2:7" hidden="1" outlineLevel="1" x14ac:dyDescent="0.25">
      <c r="B726" s="128" t="s">
        <v>478</v>
      </c>
      <c r="C726" s="128">
        <v>9.66</v>
      </c>
      <c r="D726" s="128">
        <v>3</v>
      </c>
      <c r="E726" s="128">
        <v>28.98</v>
      </c>
      <c r="F726" s="128">
        <v>1.68</v>
      </c>
      <c r="G726" s="128">
        <v>27.3</v>
      </c>
    </row>
    <row r="727" spans="2:7" hidden="1" outlineLevel="1" x14ac:dyDescent="0.25">
      <c r="B727" s="128" t="s">
        <v>479</v>
      </c>
      <c r="C727" s="128">
        <v>13.37</v>
      </c>
      <c r="D727" s="128">
        <v>1.2</v>
      </c>
      <c r="E727" s="128">
        <v>16.04</v>
      </c>
      <c r="F727" s="128">
        <v>1.28</v>
      </c>
      <c r="G727" s="128">
        <v>14.76</v>
      </c>
    </row>
    <row r="728" spans="2:7" hidden="1" outlineLevel="1" x14ac:dyDescent="0.25">
      <c r="B728" s="128" t="s">
        <v>480</v>
      </c>
      <c r="C728" s="128">
        <v>13.37</v>
      </c>
      <c r="D728" s="128">
        <v>1.2</v>
      </c>
      <c r="E728" s="128">
        <v>16.05</v>
      </c>
      <c r="F728" s="128">
        <v>1.28</v>
      </c>
      <c r="G728" s="128">
        <v>14.77</v>
      </c>
    </row>
    <row r="729" spans="2:7" hidden="1" outlineLevel="1" x14ac:dyDescent="0.25">
      <c r="B729" s="128" t="s">
        <v>675</v>
      </c>
      <c r="C729" s="128">
        <v>7.35</v>
      </c>
      <c r="D729" s="128">
        <v>1.2</v>
      </c>
      <c r="E729" s="128">
        <v>8.82</v>
      </c>
      <c r="F729" s="128">
        <v>0.24</v>
      </c>
      <c r="G729" s="128">
        <v>8.58</v>
      </c>
    </row>
    <row r="730" spans="2:7" hidden="1" outlineLevel="1" x14ac:dyDescent="0.25">
      <c r="B730" s="128" t="s">
        <v>676</v>
      </c>
      <c r="C730" s="128">
        <v>7.35</v>
      </c>
      <c r="D730" s="128">
        <v>1.2</v>
      </c>
      <c r="E730" s="128">
        <v>8.82</v>
      </c>
      <c r="F730" s="128">
        <v>0.24</v>
      </c>
      <c r="G730" s="128">
        <v>8.58</v>
      </c>
    </row>
    <row r="731" spans="2:7" hidden="1" outlineLevel="1" x14ac:dyDescent="0.25">
      <c r="B731" s="128" t="s">
        <v>481</v>
      </c>
      <c r="C731" s="128">
        <v>9.58</v>
      </c>
      <c r="D731" s="128">
        <v>1.2</v>
      </c>
      <c r="E731" s="128">
        <v>11.5</v>
      </c>
      <c r="F731" s="128">
        <v>0.27</v>
      </c>
      <c r="G731" s="128">
        <v>11.23</v>
      </c>
    </row>
    <row r="732" spans="2:7" hidden="1" outlineLevel="1" x14ac:dyDescent="0.25">
      <c r="B732" s="128" t="s">
        <v>482</v>
      </c>
      <c r="C732" s="128">
        <v>9.4</v>
      </c>
      <c r="D732" s="128">
        <v>1.2</v>
      </c>
      <c r="E732" s="128">
        <v>11.28</v>
      </c>
      <c r="F732" s="128">
        <v>1.23</v>
      </c>
      <c r="G732" s="128">
        <v>10.050000000000001</v>
      </c>
    </row>
    <row r="733" spans="2:7" hidden="1" outlineLevel="1" x14ac:dyDescent="0.25">
      <c r="B733" s="128" t="s">
        <v>483</v>
      </c>
      <c r="C733" s="128">
        <v>9.4</v>
      </c>
      <c r="D733" s="128">
        <v>1.2</v>
      </c>
      <c r="E733" s="128">
        <v>11.28</v>
      </c>
      <c r="F733" s="128">
        <v>1.23</v>
      </c>
      <c r="G733" s="128">
        <v>10.050000000000001</v>
      </c>
    </row>
    <row r="734" spans="2:7" hidden="1" outlineLevel="1" x14ac:dyDescent="0.25">
      <c r="B734" s="128" t="s">
        <v>677</v>
      </c>
      <c r="C734" s="128">
        <v>7.4</v>
      </c>
      <c r="D734" s="128">
        <v>1.2</v>
      </c>
      <c r="E734" s="128">
        <v>8.8800000000000008</v>
      </c>
      <c r="F734" s="128">
        <v>0.27</v>
      </c>
      <c r="G734" s="128">
        <v>8.61</v>
      </c>
    </row>
    <row r="735" spans="2:7" hidden="1" outlineLevel="1" x14ac:dyDescent="0.25">
      <c r="B735" s="128" t="s">
        <v>678</v>
      </c>
      <c r="C735" s="128">
        <v>7.4</v>
      </c>
      <c r="D735" s="128">
        <v>1.2</v>
      </c>
      <c r="E735" s="128">
        <v>8.8800000000000008</v>
      </c>
      <c r="F735" s="128">
        <v>0.27</v>
      </c>
      <c r="G735" s="128">
        <v>8.61</v>
      </c>
    </row>
    <row r="736" spans="2:7" hidden="1" outlineLevel="1" x14ac:dyDescent="0.25">
      <c r="B736" s="128" t="s">
        <v>679</v>
      </c>
      <c r="C736" s="128">
        <v>8.35</v>
      </c>
      <c r="D736" s="128">
        <v>1.2</v>
      </c>
      <c r="E736" s="128">
        <v>10.02</v>
      </c>
      <c r="F736" s="128">
        <v>0.27</v>
      </c>
      <c r="G736" s="128">
        <v>9.75</v>
      </c>
    </row>
    <row r="737" spans="2:7" hidden="1" outlineLevel="1" x14ac:dyDescent="0.25">
      <c r="B737" s="128" t="s">
        <v>680</v>
      </c>
      <c r="C737" s="128">
        <v>10.119999999999999</v>
      </c>
      <c r="D737" s="128">
        <v>3</v>
      </c>
      <c r="E737" s="128">
        <v>30.36</v>
      </c>
      <c r="F737" s="128">
        <v>14.43</v>
      </c>
      <c r="G737" s="128">
        <v>15.93</v>
      </c>
    </row>
    <row r="738" spans="2:7" hidden="1" outlineLevel="1" x14ac:dyDescent="0.25">
      <c r="B738" s="128" t="s">
        <v>178</v>
      </c>
      <c r="E738" s="128">
        <v>861.68</v>
      </c>
      <c r="G738" s="128">
        <v>733.85</v>
      </c>
    </row>
    <row r="739" spans="2:7" hidden="1" outlineLevel="1" x14ac:dyDescent="0.25"/>
    <row r="740" spans="2:7" hidden="1" outlineLevel="1" x14ac:dyDescent="0.25"/>
    <row r="741" spans="2:7" hidden="1" outlineLevel="1" x14ac:dyDescent="0.25"/>
    <row r="742" spans="2:7" hidden="1" outlineLevel="1" x14ac:dyDescent="0.25"/>
    <row r="743" spans="2:7" hidden="1" outlineLevel="1" x14ac:dyDescent="0.25"/>
    <row r="744" spans="2:7" hidden="1" outlineLevel="1" x14ac:dyDescent="0.25"/>
    <row r="745" spans="2:7" hidden="1" outlineLevel="1" x14ac:dyDescent="0.25"/>
    <row r="746" spans="2:7" hidden="1" outlineLevel="1" x14ac:dyDescent="0.25"/>
    <row r="747" spans="2:7" collapsed="1" x14ac:dyDescent="0.25"/>
    <row r="748" spans="2:7" x14ac:dyDescent="0.25">
      <c r="B748" s="129" t="s">
        <v>384</v>
      </c>
      <c r="C748" s="130"/>
      <c r="D748" s="130"/>
      <c r="E748" s="130"/>
      <c r="F748" s="131"/>
      <c r="G748" s="132"/>
    </row>
    <row r="749" spans="2:7" hidden="1" outlineLevel="1" x14ac:dyDescent="0.25">
      <c r="B749" s="128" t="s">
        <v>183</v>
      </c>
      <c r="C749" s="128" t="s">
        <v>174</v>
      </c>
      <c r="D749" s="128" t="s">
        <v>175</v>
      </c>
      <c r="E749" s="128" t="s">
        <v>189</v>
      </c>
      <c r="F749" s="128" t="s">
        <v>176</v>
      </c>
      <c r="G749" s="128" t="s">
        <v>383</v>
      </c>
    </row>
    <row r="750" spans="2:7" hidden="1" outlineLevel="1" x14ac:dyDescent="0.25">
      <c r="B750" s="128" t="s">
        <v>217</v>
      </c>
      <c r="C750" s="128">
        <v>1.2</v>
      </c>
      <c r="D750" s="128">
        <v>0.8</v>
      </c>
      <c r="E750" s="128">
        <v>3</v>
      </c>
      <c r="F750" s="128">
        <v>0.96</v>
      </c>
      <c r="G750" s="128">
        <v>5.76</v>
      </c>
    </row>
    <row r="751" spans="2:7" hidden="1" outlineLevel="1" x14ac:dyDescent="0.25">
      <c r="B751" s="128" t="s">
        <v>216</v>
      </c>
      <c r="C751" s="128">
        <v>1.3</v>
      </c>
      <c r="D751" s="128">
        <v>1</v>
      </c>
      <c r="E751" s="128">
        <v>2</v>
      </c>
      <c r="F751" s="128">
        <v>1.3</v>
      </c>
      <c r="G751" s="128">
        <v>5.2</v>
      </c>
    </row>
    <row r="752" spans="2:7" hidden="1" outlineLevel="1" x14ac:dyDescent="0.25">
      <c r="B752" s="128" t="s">
        <v>317</v>
      </c>
      <c r="C752" s="128">
        <v>1.6</v>
      </c>
      <c r="D752" s="128">
        <v>0.8</v>
      </c>
      <c r="E752" s="128">
        <v>5</v>
      </c>
      <c r="F752" s="128">
        <v>1.28</v>
      </c>
      <c r="G752" s="128">
        <v>12.8</v>
      </c>
    </row>
    <row r="753" spans="2:7" hidden="1" outlineLevel="1" x14ac:dyDescent="0.25">
      <c r="B753" s="128" t="s">
        <v>353</v>
      </c>
      <c r="C753" s="128">
        <v>2.5</v>
      </c>
      <c r="D753" s="128">
        <v>0.8</v>
      </c>
      <c r="E753" s="128">
        <v>6</v>
      </c>
      <c r="F753" s="128">
        <v>2</v>
      </c>
      <c r="G753" s="128">
        <v>24</v>
      </c>
    </row>
    <row r="754" spans="2:7" hidden="1" outlineLevel="1" x14ac:dyDescent="0.25">
      <c r="B754" s="128" t="s">
        <v>352</v>
      </c>
      <c r="C754" s="128">
        <v>2.2000000000000002</v>
      </c>
      <c r="D754" s="128">
        <v>2.8</v>
      </c>
      <c r="E754" s="128">
        <v>1</v>
      </c>
      <c r="F754" s="128">
        <v>6.16</v>
      </c>
      <c r="G754" s="128">
        <v>12.32</v>
      </c>
    </row>
    <row r="755" spans="2:7" hidden="1" outlineLevel="1" x14ac:dyDescent="0.25">
      <c r="B755" s="128" t="s">
        <v>571</v>
      </c>
      <c r="C755" s="128">
        <v>0.9</v>
      </c>
      <c r="D755" s="128">
        <v>0.8</v>
      </c>
      <c r="E755" s="128">
        <v>2</v>
      </c>
      <c r="F755" s="128">
        <v>0.72</v>
      </c>
      <c r="G755" s="128">
        <v>2.88</v>
      </c>
    </row>
    <row r="756" spans="2:7" hidden="1" outlineLevel="1" x14ac:dyDescent="0.25">
      <c r="B756" s="128" t="s">
        <v>681</v>
      </c>
      <c r="C756" s="128">
        <v>1</v>
      </c>
      <c r="D756" s="128">
        <v>1</v>
      </c>
      <c r="E756" s="128">
        <v>1</v>
      </c>
      <c r="F756" s="128">
        <v>1</v>
      </c>
      <c r="G756" s="128">
        <v>2</v>
      </c>
    </row>
    <row r="757" spans="2:7" hidden="1" outlineLevel="1" x14ac:dyDescent="0.25">
      <c r="B757" s="128" t="s">
        <v>682</v>
      </c>
      <c r="G757" s="128">
        <v>64.959999999999994</v>
      </c>
    </row>
    <row r="758" spans="2:7" hidden="1" outlineLevel="1" x14ac:dyDescent="0.25"/>
    <row r="759" spans="2:7" hidden="1" outlineLevel="1" x14ac:dyDescent="0.25"/>
    <row r="760" spans="2:7" collapsed="1" x14ac:dyDescent="0.25"/>
    <row r="761" spans="2:7" x14ac:dyDescent="0.25">
      <c r="B761" s="129" t="s">
        <v>385</v>
      </c>
      <c r="C761" s="130"/>
      <c r="D761" s="130"/>
      <c r="E761" s="130"/>
      <c r="F761" s="131"/>
      <c r="G761" s="132"/>
    </row>
    <row r="762" spans="2:7" hidden="1" outlineLevel="1" x14ac:dyDescent="0.25">
      <c r="B762" s="128" t="s">
        <v>188</v>
      </c>
      <c r="C762" s="128" t="s">
        <v>174</v>
      </c>
      <c r="D762" s="128" t="s">
        <v>175</v>
      </c>
      <c r="E762" s="128" t="s">
        <v>189</v>
      </c>
      <c r="F762" s="128" t="s">
        <v>176</v>
      </c>
      <c r="G762" s="128" t="s">
        <v>383</v>
      </c>
    </row>
    <row r="763" spans="2:7" hidden="1" outlineLevel="1" x14ac:dyDescent="0.25">
      <c r="B763" s="128" t="s">
        <v>207</v>
      </c>
      <c r="C763" s="128">
        <v>0.6</v>
      </c>
      <c r="D763" s="128">
        <v>1.6</v>
      </c>
      <c r="E763" s="128">
        <v>7</v>
      </c>
      <c r="F763" s="128">
        <v>0.96</v>
      </c>
      <c r="G763" s="128">
        <v>13.44</v>
      </c>
    </row>
    <row r="764" spans="2:7" hidden="1" outlineLevel="1" x14ac:dyDescent="0.25">
      <c r="B764" s="128" t="s">
        <v>208</v>
      </c>
      <c r="C764" s="128">
        <v>0.7</v>
      </c>
      <c r="D764" s="128">
        <v>0.7</v>
      </c>
      <c r="E764" s="128">
        <v>3</v>
      </c>
      <c r="F764" s="128">
        <v>0.49</v>
      </c>
      <c r="G764" s="128">
        <v>2.94</v>
      </c>
    </row>
    <row r="765" spans="2:7" hidden="1" outlineLevel="1" x14ac:dyDescent="0.25">
      <c r="B765" s="128" t="s">
        <v>209</v>
      </c>
      <c r="C765" s="128">
        <v>0.7</v>
      </c>
      <c r="D765" s="128">
        <v>2.1</v>
      </c>
      <c r="E765" s="128">
        <v>6</v>
      </c>
      <c r="F765" s="128">
        <v>1.47</v>
      </c>
      <c r="G765" s="128">
        <v>17.64</v>
      </c>
    </row>
    <row r="766" spans="2:7" hidden="1" outlineLevel="1" x14ac:dyDescent="0.25">
      <c r="B766" s="128" t="s">
        <v>210</v>
      </c>
      <c r="C766" s="128">
        <v>0.8</v>
      </c>
      <c r="D766" s="128">
        <v>2.1</v>
      </c>
      <c r="E766" s="128">
        <v>12</v>
      </c>
      <c r="F766" s="128">
        <v>1.68</v>
      </c>
      <c r="G766" s="128">
        <v>40.32</v>
      </c>
    </row>
    <row r="767" spans="2:7" hidden="1" outlineLevel="1" x14ac:dyDescent="0.25">
      <c r="B767" s="128" t="s">
        <v>211</v>
      </c>
      <c r="C767" s="128">
        <v>0.9</v>
      </c>
      <c r="D767" s="128">
        <v>2.1</v>
      </c>
      <c r="E767" s="128">
        <v>6</v>
      </c>
      <c r="F767" s="128">
        <v>1.89</v>
      </c>
      <c r="G767" s="128">
        <v>22.68</v>
      </c>
    </row>
    <row r="768" spans="2:7" hidden="1" outlineLevel="1" x14ac:dyDescent="0.25">
      <c r="B768" s="128" t="s">
        <v>212</v>
      </c>
      <c r="C768" s="128">
        <v>1</v>
      </c>
      <c r="D768" s="128">
        <v>2.1</v>
      </c>
      <c r="E768" s="128">
        <v>2</v>
      </c>
      <c r="F768" s="128">
        <v>2.1</v>
      </c>
      <c r="G768" s="128">
        <v>8.4</v>
      </c>
    </row>
    <row r="769" spans="2:7" hidden="1" outlineLevel="1" x14ac:dyDescent="0.25">
      <c r="B769" s="128" t="s">
        <v>213</v>
      </c>
      <c r="C769" s="128">
        <v>1.2</v>
      </c>
      <c r="D769" s="128">
        <v>2.1</v>
      </c>
      <c r="E769" s="128">
        <v>9</v>
      </c>
      <c r="F769" s="128">
        <v>2.52</v>
      </c>
      <c r="G769" s="128">
        <v>45.36</v>
      </c>
    </row>
    <row r="770" spans="2:7" hidden="1" outlineLevel="1" x14ac:dyDescent="0.25">
      <c r="B770" s="128" t="s">
        <v>239</v>
      </c>
      <c r="C770" s="128">
        <v>2.2000000000000002</v>
      </c>
      <c r="D770" s="128">
        <v>2.7</v>
      </c>
      <c r="E770" s="128">
        <v>1</v>
      </c>
      <c r="F770" s="128">
        <v>5.94</v>
      </c>
      <c r="G770" s="128">
        <v>11.88</v>
      </c>
    </row>
    <row r="771" spans="2:7" hidden="1" outlineLevel="1" x14ac:dyDescent="0.25">
      <c r="B771" s="128" t="s">
        <v>688</v>
      </c>
      <c r="G771" s="128">
        <v>162.66</v>
      </c>
    </row>
    <row r="772" spans="2:7" collapsed="1" x14ac:dyDescent="0.25"/>
    <row r="773" spans="2:7" x14ac:dyDescent="0.25">
      <c r="B773" s="129" t="s">
        <v>691</v>
      </c>
      <c r="C773" s="130"/>
      <c r="D773" s="130"/>
      <c r="E773" s="130"/>
      <c r="F773" s="131"/>
      <c r="G773" s="132"/>
    </row>
    <row r="774" spans="2:7" hidden="1" outlineLevel="1" x14ac:dyDescent="0.25">
      <c r="B774" s="128" t="s">
        <v>188</v>
      </c>
      <c r="C774" s="128" t="s">
        <v>174</v>
      </c>
      <c r="D774" s="128" t="s">
        <v>175</v>
      </c>
      <c r="E774" s="128" t="s">
        <v>189</v>
      </c>
      <c r="F774" s="128" t="s">
        <v>176</v>
      </c>
      <c r="G774" s="128" t="s">
        <v>383</v>
      </c>
    </row>
    <row r="775" spans="2:7" hidden="1" outlineLevel="1" x14ac:dyDescent="0.25">
      <c r="B775" s="128" t="s">
        <v>659</v>
      </c>
      <c r="C775" s="128">
        <v>1.1000000000000001</v>
      </c>
      <c r="D775" s="128">
        <v>2.14</v>
      </c>
      <c r="E775" s="128">
        <v>2</v>
      </c>
      <c r="F775" s="128">
        <v>2.35</v>
      </c>
      <c r="G775" s="128">
        <v>9.39</v>
      </c>
    </row>
    <row r="776" spans="2:7" hidden="1" outlineLevel="1" x14ac:dyDescent="0.25">
      <c r="B776" s="128" t="s">
        <v>660</v>
      </c>
      <c r="C776" s="128">
        <v>0.9</v>
      </c>
      <c r="D776" s="128">
        <v>2.1</v>
      </c>
      <c r="E776" s="128">
        <v>1</v>
      </c>
      <c r="F776" s="128">
        <v>1.89</v>
      </c>
      <c r="G776" s="128">
        <v>3.78</v>
      </c>
    </row>
    <row r="777" spans="2:7" hidden="1" outlineLevel="1" x14ac:dyDescent="0.25">
      <c r="B777" s="128" t="s">
        <v>692</v>
      </c>
      <c r="G777" s="128">
        <v>13.17</v>
      </c>
    </row>
    <row r="778" spans="2:7" hidden="1" outlineLevel="1" x14ac:dyDescent="0.25"/>
    <row r="779" spans="2:7" hidden="1" outlineLevel="1" x14ac:dyDescent="0.25"/>
    <row r="780" spans="2:7" hidden="1" outlineLevel="1" x14ac:dyDescent="0.25"/>
    <row r="781" spans="2:7" hidden="1" outlineLevel="1" x14ac:dyDescent="0.25"/>
    <row r="782" spans="2:7" hidden="1" outlineLevel="1" x14ac:dyDescent="0.25"/>
    <row r="783" spans="2:7" hidden="1" outlineLevel="1" x14ac:dyDescent="0.25"/>
    <row r="784" spans="2:7" hidden="1" outlineLevel="1" x14ac:dyDescent="0.25"/>
    <row r="785" spans="2:7" hidden="1" outlineLevel="1" x14ac:dyDescent="0.25"/>
    <row r="786" spans="2:7" hidden="1" outlineLevel="1" x14ac:dyDescent="0.25"/>
    <row r="787" spans="2:7" hidden="1" outlineLevel="1" x14ac:dyDescent="0.25"/>
    <row r="788" spans="2:7" collapsed="1" x14ac:dyDescent="0.25"/>
    <row r="791" spans="2:7" x14ac:dyDescent="0.25">
      <c r="B791" s="129" t="s">
        <v>386</v>
      </c>
      <c r="C791" s="130"/>
      <c r="D791" s="130"/>
      <c r="E791" s="130"/>
      <c r="F791" s="131"/>
      <c r="G791" s="132"/>
    </row>
    <row r="792" spans="2:7" hidden="1" outlineLevel="1" x14ac:dyDescent="0.25">
      <c r="B792" s="128" t="s">
        <v>188</v>
      </c>
      <c r="C792" s="128" t="s">
        <v>174</v>
      </c>
      <c r="D792" s="128" t="s">
        <v>189</v>
      </c>
      <c r="E792" s="128" t="s">
        <v>180</v>
      </c>
      <c r="F792"/>
      <c r="G792"/>
    </row>
    <row r="793" spans="2:7" hidden="1" outlineLevel="1" x14ac:dyDescent="0.25">
      <c r="B793" s="128" t="s">
        <v>209</v>
      </c>
      <c r="C793" s="128">
        <v>0.7</v>
      </c>
      <c r="D793" s="128">
        <v>5</v>
      </c>
      <c r="E793" s="128">
        <v>3.5</v>
      </c>
    </row>
    <row r="794" spans="2:7" hidden="1" outlineLevel="1" x14ac:dyDescent="0.25">
      <c r="B794" s="128" t="s">
        <v>210</v>
      </c>
      <c r="C794" s="128">
        <v>0.8</v>
      </c>
      <c r="D794" s="128">
        <v>3</v>
      </c>
      <c r="E794" s="128">
        <v>2.4</v>
      </c>
    </row>
    <row r="795" spans="2:7" hidden="1" outlineLevel="1" x14ac:dyDescent="0.25">
      <c r="B795" s="128" t="s">
        <v>211</v>
      </c>
      <c r="C795" s="128">
        <v>0.9</v>
      </c>
      <c r="D795" s="128">
        <v>3</v>
      </c>
      <c r="E795" s="128">
        <v>2.7</v>
      </c>
    </row>
    <row r="796" spans="2:7" hidden="1" outlineLevel="1" x14ac:dyDescent="0.25">
      <c r="B796" s="128" t="s">
        <v>212</v>
      </c>
      <c r="C796" s="128">
        <v>1</v>
      </c>
      <c r="D796" s="128">
        <v>2</v>
      </c>
      <c r="E796" s="128">
        <v>2</v>
      </c>
    </row>
    <row r="797" spans="2:7" hidden="1" outlineLevel="1" x14ac:dyDescent="0.25">
      <c r="B797" s="128" t="s">
        <v>213</v>
      </c>
      <c r="C797" s="128">
        <v>1.2</v>
      </c>
      <c r="D797" s="128">
        <v>6</v>
      </c>
      <c r="E797" s="128">
        <v>7.2</v>
      </c>
    </row>
    <row r="798" spans="2:7" hidden="1" outlineLevel="1" x14ac:dyDescent="0.25">
      <c r="B798" s="128" t="s">
        <v>239</v>
      </c>
      <c r="C798" s="128">
        <v>2.2000000000000002</v>
      </c>
      <c r="D798" s="128">
        <v>1</v>
      </c>
      <c r="E798" s="128">
        <v>2.2000000000000002</v>
      </c>
    </row>
    <row r="799" spans="2:7" hidden="1" outlineLevel="1" x14ac:dyDescent="0.25">
      <c r="B799" s="128" t="s">
        <v>659</v>
      </c>
      <c r="C799" s="128">
        <v>1.1000000000000001</v>
      </c>
      <c r="D799" s="128">
        <v>1</v>
      </c>
      <c r="E799" s="128">
        <v>1.1000000000000001</v>
      </c>
    </row>
    <row r="800" spans="2:7" hidden="1" outlineLevel="1" x14ac:dyDescent="0.25">
      <c r="B800" s="128" t="s">
        <v>464</v>
      </c>
      <c r="E800" s="128">
        <v>21.1</v>
      </c>
    </row>
    <row r="801" spans="2:7" hidden="1" outlineLevel="1" x14ac:dyDescent="0.25"/>
    <row r="802" spans="2:7" hidden="1" outlineLevel="1" x14ac:dyDescent="0.25"/>
    <row r="803" spans="2:7" hidden="1" outlineLevel="1" x14ac:dyDescent="0.25"/>
    <row r="804" spans="2:7" hidden="1" outlineLevel="1" x14ac:dyDescent="0.25"/>
    <row r="805" spans="2:7" hidden="1" outlineLevel="1" x14ac:dyDescent="0.25"/>
    <row r="806" spans="2:7" hidden="1" outlineLevel="1" x14ac:dyDescent="0.25"/>
    <row r="807" spans="2:7" hidden="1" outlineLevel="1" x14ac:dyDescent="0.25"/>
    <row r="808" spans="2:7" collapsed="1" x14ac:dyDescent="0.25"/>
    <row r="810" spans="2:7" x14ac:dyDescent="0.25">
      <c r="B810" s="129" t="s">
        <v>219</v>
      </c>
      <c r="C810" s="130"/>
      <c r="D810" s="130"/>
      <c r="E810" s="130"/>
      <c r="F810" s="131"/>
      <c r="G810" s="132"/>
    </row>
    <row r="811" spans="2:7" hidden="1" outlineLevel="1" x14ac:dyDescent="0.25">
      <c r="B811" s="128" t="s">
        <v>183</v>
      </c>
      <c r="C811" s="128" t="s">
        <v>40</v>
      </c>
      <c r="D811" s="128" t="s">
        <v>174</v>
      </c>
      <c r="E811" s="128" t="s">
        <v>180</v>
      </c>
    </row>
    <row r="812" spans="2:7" hidden="1" outlineLevel="1" x14ac:dyDescent="0.25">
      <c r="B812" s="128" t="s">
        <v>217</v>
      </c>
      <c r="C812" s="128">
        <v>3</v>
      </c>
      <c r="D812" s="128">
        <v>1.2</v>
      </c>
      <c r="E812" s="128">
        <v>3.6</v>
      </c>
    </row>
    <row r="813" spans="2:7" hidden="1" outlineLevel="1" x14ac:dyDescent="0.25">
      <c r="B813" s="128" t="s">
        <v>216</v>
      </c>
      <c r="C813" s="128">
        <v>2</v>
      </c>
      <c r="D813" s="128">
        <v>1.3</v>
      </c>
      <c r="E813" s="128">
        <v>2.6</v>
      </c>
    </row>
    <row r="814" spans="2:7" hidden="1" outlineLevel="1" x14ac:dyDescent="0.25">
      <c r="B814" s="128" t="s">
        <v>317</v>
      </c>
      <c r="C814" s="128">
        <v>5</v>
      </c>
      <c r="D814" s="128">
        <v>1.6</v>
      </c>
      <c r="E814" s="128">
        <v>8</v>
      </c>
    </row>
    <row r="815" spans="2:7" hidden="1" outlineLevel="1" x14ac:dyDescent="0.25">
      <c r="B815" s="128" t="s">
        <v>353</v>
      </c>
      <c r="C815" s="128">
        <v>6</v>
      </c>
      <c r="D815" s="128">
        <v>2.5</v>
      </c>
      <c r="E815" s="128">
        <v>15</v>
      </c>
    </row>
    <row r="816" spans="2:7" hidden="1" outlineLevel="1" x14ac:dyDescent="0.25">
      <c r="B816" s="128" t="s">
        <v>352</v>
      </c>
      <c r="C816" s="128">
        <v>1</v>
      </c>
      <c r="D816" s="128">
        <v>2.2000000000000002</v>
      </c>
      <c r="E816" s="128">
        <v>2.2000000000000002</v>
      </c>
    </row>
    <row r="817" spans="2:5" hidden="1" outlineLevel="1" x14ac:dyDescent="0.25">
      <c r="B817" s="128" t="s">
        <v>571</v>
      </c>
      <c r="C817" s="128">
        <v>2</v>
      </c>
      <c r="D817" s="128">
        <v>0.9</v>
      </c>
      <c r="E817" s="128">
        <v>1.8</v>
      </c>
    </row>
    <row r="818" spans="2:5" hidden="1" outlineLevel="1" x14ac:dyDescent="0.25">
      <c r="B818" s="128" t="s">
        <v>681</v>
      </c>
      <c r="C818" s="128">
        <v>1</v>
      </c>
      <c r="D818" s="128">
        <v>1</v>
      </c>
      <c r="E818" s="128">
        <v>1</v>
      </c>
    </row>
    <row r="819" spans="2:5" ht="19.5" hidden="1" customHeight="1" outlineLevel="1" x14ac:dyDescent="0.25">
      <c r="B819" s="128" t="s">
        <v>682</v>
      </c>
      <c r="E819" s="128">
        <v>34.200000000000003</v>
      </c>
    </row>
    <row r="820" spans="2:5" hidden="1" outlineLevel="1" x14ac:dyDescent="0.25"/>
    <row r="821" spans="2:5" hidden="1" outlineLevel="1" x14ac:dyDescent="0.25"/>
    <row r="822" spans="2:5" hidden="1" outlineLevel="1" x14ac:dyDescent="0.25"/>
    <row r="823" spans="2:5" hidden="1" outlineLevel="1" x14ac:dyDescent="0.25"/>
    <row r="824" spans="2:5" hidden="1" outlineLevel="1" x14ac:dyDescent="0.25"/>
    <row r="825" spans="2:5" hidden="1" outlineLevel="1" x14ac:dyDescent="0.25"/>
    <row r="826" spans="2:5" collapsed="1" x14ac:dyDescent="0.25"/>
    <row r="950" spans="2:4" x14ac:dyDescent="0.25">
      <c r="B950" s="128" t="s">
        <v>233</v>
      </c>
    </row>
    <row r="951" spans="2:4" x14ac:dyDescent="0.25">
      <c r="B951" s="128" t="s">
        <v>148</v>
      </c>
      <c r="C951" s="128" t="s">
        <v>184</v>
      </c>
      <c r="D951" s="128" t="s">
        <v>176</v>
      </c>
    </row>
    <row r="952" spans="2:4" x14ac:dyDescent="0.25">
      <c r="B952" s="128" t="s">
        <v>466</v>
      </c>
      <c r="C952" s="128">
        <v>9.1</v>
      </c>
      <c r="D952" s="128">
        <v>5.0999999999999996</v>
      </c>
    </row>
    <row r="953" spans="2:4" x14ac:dyDescent="0.25">
      <c r="B953" s="128" t="s">
        <v>467</v>
      </c>
      <c r="C953" s="128">
        <v>9.11</v>
      </c>
      <c r="D953" s="128">
        <v>5.1100000000000003</v>
      </c>
    </row>
    <row r="954" spans="2:4" x14ac:dyDescent="0.25">
      <c r="B954" s="128" t="s">
        <v>468</v>
      </c>
      <c r="C954" s="128">
        <v>13.4</v>
      </c>
      <c r="D954" s="128">
        <v>11.2</v>
      </c>
    </row>
    <row r="955" spans="2:4" x14ac:dyDescent="0.25">
      <c r="B955" s="128" t="s">
        <v>203</v>
      </c>
      <c r="C955" s="128">
        <v>13.57</v>
      </c>
      <c r="D955" s="128">
        <v>11.16</v>
      </c>
    </row>
    <row r="956" spans="2:4" x14ac:dyDescent="0.25">
      <c r="B956" s="128" t="s">
        <v>469</v>
      </c>
      <c r="C956" s="128">
        <v>13.22</v>
      </c>
      <c r="D956" s="128">
        <v>9.1</v>
      </c>
    </row>
    <row r="957" spans="2:4" x14ac:dyDescent="0.25">
      <c r="B957" s="128" t="s">
        <v>351</v>
      </c>
      <c r="C957" s="128">
        <v>6.98</v>
      </c>
      <c r="D957" s="128">
        <v>2.86</v>
      </c>
    </row>
    <row r="958" spans="2:4" x14ac:dyDescent="0.25">
      <c r="B958" s="128" t="s">
        <v>470</v>
      </c>
      <c r="C958" s="128">
        <v>5.26</v>
      </c>
      <c r="D958" s="128">
        <v>1.65</v>
      </c>
    </row>
    <row r="959" spans="2:4" x14ac:dyDescent="0.25">
      <c r="B959" s="128" t="s">
        <v>473</v>
      </c>
      <c r="C959" s="128">
        <v>19.3</v>
      </c>
      <c r="D959" s="128">
        <v>21.54</v>
      </c>
    </row>
    <row r="960" spans="2:4" x14ac:dyDescent="0.25">
      <c r="B960" s="128" t="s">
        <v>568</v>
      </c>
      <c r="C960" s="128">
        <v>12.2</v>
      </c>
      <c r="D960" s="128">
        <v>9.11</v>
      </c>
    </row>
    <row r="961" spans="2:4" x14ac:dyDescent="0.25">
      <c r="B961" s="128" t="s">
        <v>569</v>
      </c>
      <c r="C961" s="128">
        <v>12.2</v>
      </c>
      <c r="D961" s="128">
        <v>9.11</v>
      </c>
    </row>
    <row r="962" spans="2:4" x14ac:dyDescent="0.25">
      <c r="B962" s="128" t="s">
        <v>570</v>
      </c>
      <c r="C962" s="128">
        <v>14.6</v>
      </c>
      <c r="D962" s="128">
        <v>13.31</v>
      </c>
    </row>
    <row r="963" spans="2:4" x14ac:dyDescent="0.25">
      <c r="B963" s="128" t="s">
        <v>475</v>
      </c>
      <c r="C963" s="128">
        <v>11.97</v>
      </c>
      <c r="D963" s="128">
        <v>7.97</v>
      </c>
    </row>
    <row r="964" spans="2:4" x14ac:dyDescent="0.25">
      <c r="B964" s="128" t="s">
        <v>478</v>
      </c>
      <c r="C964" s="128">
        <v>9.92</v>
      </c>
      <c r="D964" s="128">
        <v>6.06</v>
      </c>
    </row>
    <row r="965" spans="2:4" x14ac:dyDescent="0.25">
      <c r="B965" s="128" t="s">
        <v>479</v>
      </c>
      <c r="C965" s="128">
        <v>13.37</v>
      </c>
      <c r="D965" s="128">
        <v>10.76</v>
      </c>
    </row>
    <row r="966" spans="2:4" x14ac:dyDescent="0.25">
      <c r="B966" s="128" t="s">
        <v>480</v>
      </c>
      <c r="C966" s="128">
        <v>13.37</v>
      </c>
      <c r="D966" s="128">
        <v>10.77</v>
      </c>
    </row>
    <row r="967" spans="2:4" x14ac:dyDescent="0.25">
      <c r="B967" s="128" t="s">
        <v>481</v>
      </c>
      <c r="C967" s="128">
        <v>9.58</v>
      </c>
      <c r="D967" s="128">
        <v>5.43</v>
      </c>
    </row>
    <row r="968" spans="2:4" x14ac:dyDescent="0.25">
      <c r="B968" s="128" t="s">
        <v>482</v>
      </c>
      <c r="C968" s="128">
        <v>9.4</v>
      </c>
      <c r="D968" s="128">
        <v>5.0999999999999996</v>
      </c>
    </row>
    <row r="969" spans="2:4" x14ac:dyDescent="0.25">
      <c r="B969" s="128" t="s">
        <v>483</v>
      </c>
      <c r="C969" s="128">
        <v>9.4</v>
      </c>
      <c r="D969" s="128">
        <v>5.0999999999999996</v>
      </c>
    </row>
    <row r="970" spans="2:4" x14ac:dyDescent="0.25">
      <c r="B970" s="128" t="s">
        <v>254</v>
      </c>
      <c r="C970" s="128">
        <v>22.57</v>
      </c>
      <c r="D970" s="128">
        <v>21.03</v>
      </c>
    </row>
    <row r="971" spans="2:4" x14ac:dyDescent="0.25">
      <c r="B971" s="128" t="s">
        <v>204</v>
      </c>
      <c r="C971" s="128">
        <v>228.55</v>
      </c>
      <c r="D971" s="128">
        <v>171.46</v>
      </c>
    </row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L192"/>
  <sheetViews>
    <sheetView workbookViewId="0"/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  <col min="6" max="6" width="15.140625" customWidth="1"/>
  </cols>
  <sheetData>
    <row r="1" spans="1:7" x14ac:dyDescent="0.25">
      <c r="A1" s="24"/>
      <c r="B1" s="190" t="s">
        <v>1</v>
      </c>
      <c r="C1" s="222"/>
      <c r="D1" s="222"/>
      <c r="E1" s="223"/>
    </row>
    <row r="2" spans="1:7" ht="15.75" x14ac:dyDescent="0.25">
      <c r="A2" s="25"/>
      <c r="B2" s="191" t="str">
        <f>'ORÇAMENTO_N DES'!D3</f>
        <v>PREFEITURA MUNICIPAL DE RIBAS DO RIO PARDO</v>
      </c>
      <c r="C2" s="192"/>
      <c r="D2" s="192"/>
      <c r="E2" s="193"/>
    </row>
    <row r="3" spans="1:7" x14ac:dyDescent="0.25">
      <c r="A3" s="26"/>
      <c r="B3" s="190" t="s">
        <v>942</v>
      </c>
      <c r="C3" s="222"/>
      <c r="D3" s="222"/>
      <c r="E3" s="223"/>
    </row>
    <row r="4" spans="1:7" ht="20.45" customHeight="1" x14ac:dyDescent="0.25">
      <c r="A4" s="594" t="s">
        <v>145</v>
      </c>
      <c r="B4" s="595"/>
      <c r="C4" s="595"/>
      <c r="D4" s="595"/>
      <c r="E4" s="775"/>
    </row>
    <row r="5" spans="1:7" ht="14.45" customHeight="1" x14ac:dyDescent="0.25">
      <c r="A5" s="36" t="s">
        <v>171</v>
      </c>
      <c r="B5" s="204" t="str">
        <f>'ORÇAMENTO_N DES'!C6</f>
        <v>CONSTRUÇÃO DE PONTOS DE ÔNIBUS</v>
      </c>
      <c r="C5" s="37"/>
      <c r="D5" s="776" t="s">
        <v>45</v>
      </c>
      <c r="E5" s="777"/>
    </row>
    <row r="6" spans="1:7" x14ac:dyDescent="0.25">
      <c r="A6" s="36" t="s">
        <v>2</v>
      </c>
      <c r="B6" s="204" t="e">
        <f>#REF!</f>
        <v>#REF!</v>
      </c>
      <c r="C6" s="225"/>
      <c r="D6" s="226"/>
      <c r="E6" s="67"/>
      <c r="F6" s="35"/>
      <c r="G6" s="194"/>
    </row>
    <row r="7" spans="1:7" ht="14.45" customHeight="1" x14ac:dyDescent="0.25">
      <c r="A7" s="36" t="s">
        <v>3</v>
      </c>
      <c r="B7" s="204" t="str">
        <f>'ORÇAMENTO_N DES'!C8</f>
        <v>RIBAS DO RIO PARDO</v>
      </c>
      <c r="C7" s="37"/>
      <c r="D7" s="605" t="s">
        <v>111</v>
      </c>
      <c r="E7" s="607"/>
    </row>
    <row r="8" spans="1:7" x14ac:dyDescent="0.25">
      <c r="A8" s="30" t="s">
        <v>66</v>
      </c>
      <c r="B8" s="134" t="e">
        <f>#REF!</f>
        <v>#REF!</v>
      </c>
      <c r="C8" s="224"/>
      <c r="D8" s="608"/>
      <c r="E8" s="610"/>
    </row>
    <row r="9" spans="1:7" x14ac:dyDescent="0.25">
      <c r="A9" s="30"/>
      <c r="B9" s="224"/>
      <c r="C9" s="224"/>
      <c r="D9" s="226"/>
      <c r="E9" s="68"/>
      <c r="F9" s="195"/>
      <c r="G9" s="195"/>
    </row>
    <row r="10" spans="1:7" s="40" customFormat="1" ht="14.25" customHeight="1" x14ac:dyDescent="0.2">
      <c r="A10" s="220" t="s">
        <v>146</v>
      </c>
      <c r="B10" s="220" t="s">
        <v>147</v>
      </c>
      <c r="C10" s="220" t="s">
        <v>148</v>
      </c>
      <c r="D10" s="220" t="s">
        <v>149</v>
      </c>
      <c r="E10" s="220" t="s">
        <v>150</v>
      </c>
      <c r="F10" s="70"/>
    </row>
    <row r="11" spans="1:7" s="40" customFormat="1" ht="14.25" customHeight="1" x14ac:dyDescent="0.2">
      <c r="A11" s="69" t="s">
        <v>151</v>
      </c>
      <c r="B11" s="139" t="s">
        <v>415</v>
      </c>
      <c r="C11" s="139" t="s">
        <v>416</v>
      </c>
      <c r="D11" s="221" t="s">
        <v>152</v>
      </c>
      <c r="E11" s="221" t="s">
        <v>152</v>
      </c>
      <c r="F11" s="70"/>
    </row>
    <row r="12" spans="1:7" s="40" customFormat="1" ht="14.25" customHeight="1" x14ac:dyDescent="0.2">
      <c r="A12" s="69" t="s">
        <v>153</v>
      </c>
      <c r="B12" s="139" t="s">
        <v>417</v>
      </c>
      <c r="C12" s="139" t="s">
        <v>279</v>
      </c>
      <c r="D12" s="221" t="s">
        <v>152</v>
      </c>
      <c r="E12" s="221" t="s">
        <v>152</v>
      </c>
      <c r="F12" s="70"/>
    </row>
    <row r="13" spans="1:7" s="40" customFormat="1" ht="12.75" x14ac:dyDescent="0.2">
      <c r="A13" s="69" t="s">
        <v>154</v>
      </c>
      <c r="B13" s="139" t="s">
        <v>418</v>
      </c>
      <c r="C13" s="139" t="s">
        <v>419</v>
      </c>
      <c r="D13" s="221" t="s">
        <v>152</v>
      </c>
      <c r="E13" s="221" t="s">
        <v>152</v>
      </c>
      <c r="F13" s="70"/>
    </row>
    <row r="14" spans="1:7" s="40" customFormat="1" ht="14.25" customHeight="1" x14ac:dyDescent="0.2">
      <c r="A14" s="69" t="s">
        <v>166</v>
      </c>
      <c r="B14" s="139" t="s">
        <v>276</v>
      </c>
      <c r="C14" s="139" t="s">
        <v>277</v>
      </c>
      <c r="D14" s="221" t="s">
        <v>152</v>
      </c>
      <c r="E14" s="221" t="s">
        <v>152</v>
      </c>
      <c r="F14" s="70"/>
    </row>
    <row r="15" spans="1:7" s="40" customFormat="1" ht="14.25" customHeight="1" x14ac:dyDescent="0.2">
      <c r="A15" s="69" t="s">
        <v>167</v>
      </c>
      <c r="B15" s="139" t="s">
        <v>410</v>
      </c>
      <c r="C15" s="139" t="s">
        <v>411</v>
      </c>
      <c r="D15" s="221" t="s">
        <v>152</v>
      </c>
      <c r="E15" s="221" t="s">
        <v>152</v>
      </c>
      <c r="F15" s="70"/>
    </row>
    <row r="16" spans="1:7" s="40" customFormat="1" ht="15" customHeight="1" x14ac:dyDescent="0.2">
      <c r="A16" s="69" t="s">
        <v>168</v>
      </c>
      <c r="B16" s="139" t="s">
        <v>518</v>
      </c>
      <c r="C16" s="139" t="s">
        <v>519</v>
      </c>
      <c r="D16" s="221" t="s">
        <v>520</v>
      </c>
      <c r="E16" s="221" t="s">
        <v>521</v>
      </c>
      <c r="F16" s="70"/>
    </row>
    <row r="17" spans="1:6" s="40" customFormat="1" ht="15" customHeight="1" x14ac:dyDescent="0.2">
      <c r="A17" s="69" t="s">
        <v>169</v>
      </c>
      <c r="B17" s="139" t="s">
        <v>522</v>
      </c>
      <c r="C17" s="139" t="s">
        <v>523</v>
      </c>
      <c r="D17" s="221" t="s">
        <v>524</v>
      </c>
      <c r="E17" s="221" t="s">
        <v>525</v>
      </c>
      <c r="F17" s="70"/>
    </row>
    <row r="18" spans="1:6" s="40" customFormat="1" ht="15" customHeight="1" x14ac:dyDescent="0.2">
      <c r="A18" s="69" t="s">
        <v>244</v>
      </c>
      <c r="B18" s="139" t="s">
        <v>526</v>
      </c>
      <c r="C18" s="139" t="s">
        <v>527</v>
      </c>
      <c r="D18" s="221" t="s">
        <v>528</v>
      </c>
      <c r="E18" s="221" t="s">
        <v>529</v>
      </c>
      <c r="F18" s="70"/>
    </row>
    <row r="19" spans="1:6" s="40" customFormat="1" ht="15" customHeight="1" x14ac:dyDescent="0.2">
      <c r="A19" s="69" t="s">
        <v>245</v>
      </c>
      <c r="B19" s="139" t="s">
        <v>421</v>
      </c>
      <c r="C19" s="139" t="s">
        <v>422</v>
      </c>
      <c r="D19" s="221" t="s">
        <v>423</v>
      </c>
      <c r="E19" s="221" t="s">
        <v>152</v>
      </c>
      <c r="F19" s="70"/>
    </row>
    <row r="20" spans="1:6" s="40" customFormat="1" ht="15" customHeight="1" x14ac:dyDescent="0.2">
      <c r="A20" s="69" t="s">
        <v>246</v>
      </c>
      <c r="B20" s="139" t="s">
        <v>572</v>
      </c>
      <c r="C20" s="139" t="s">
        <v>573</v>
      </c>
      <c r="D20" s="221" t="s">
        <v>152</v>
      </c>
      <c r="E20" s="221" t="s">
        <v>152</v>
      </c>
      <c r="F20" s="70"/>
    </row>
    <row r="21" spans="1:6" s="40" customFormat="1" ht="15" customHeight="1" x14ac:dyDescent="0.2">
      <c r="A21" s="69" t="s">
        <v>247</v>
      </c>
      <c r="B21" s="139" t="s">
        <v>574</v>
      </c>
      <c r="C21" s="139" t="s">
        <v>575</v>
      </c>
      <c r="D21" s="221" t="s">
        <v>152</v>
      </c>
      <c r="E21" s="221" t="s">
        <v>152</v>
      </c>
      <c r="F21" s="70"/>
    </row>
    <row r="22" spans="1:6" s="40" customFormat="1" ht="15" customHeight="1" x14ac:dyDescent="0.2">
      <c r="A22" s="69" t="s">
        <v>248</v>
      </c>
      <c r="B22" s="139" t="s">
        <v>530</v>
      </c>
      <c r="C22" s="139" t="s">
        <v>531</v>
      </c>
      <c r="D22" s="221" t="s">
        <v>152</v>
      </c>
      <c r="E22" s="221" t="s">
        <v>152</v>
      </c>
      <c r="F22" s="70"/>
    </row>
    <row r="23" spans="1:6" s="40" customFormat="1" ht="15" customHeight="1" x14ac:dyDescent="0.2">
      <c r="A23" s="69" t="s">
        <v>269</v>
      </c>
      <c r="B23" s="139" t="s">
        <v>576</v>
      </c>
      <c r="C23" s="139" t="s">
        <v>577</v>
      </c>
      <c r="D23" s="221" t="s">
        <v>578</v>
      </c>
      <c r="E23" s="221" t="s">
        <v>579</v>
      </c>
      <c r="F23" s="70"/>
    </row>
    <row r="24" spans="1:6" s="40" customFormat="1" ht="15" customHeight="1" x14ac:dyDescent="0.2">
      <c r="A24" s="69" t="s">
        <v>270</v>
      </c>
      <c r="B24" s="139" t="s">
        <v>595</v>
      </c>
      <c r="C24" s="139" t="s">
        <v>596</v>
      </c>
      <c r="D24" s="221" t="s">
        <v>597</v>
      </c>
      <c r="E24" s="221" t="s">
        <v>598</v>
      </c>
      <c r="F24" s="70"/>
    </row>
    <row r="25" spans="1:6" s="40" customFormat="1" ht="15" customHeight="1" x14ac:dyDescent="0.2">
      <c r="A25" s="69" t="s">
        <v>271</v>
      </c>
      <c r="B25" s="139" t="s">
        <v>251</v>
      </c>
      <c r="C25" s="139" t="s">
        <v>249</v>
      </c>
      <c r="D25" s="221" t="s">
        <v>250</v>
      </c>
      <c r="E25" s="221" t="s">
        <v>249</v>
      </c>
      <c r="F25" s="70"/>
    </row>
    <row r="26" spans="1:6" s="40" customFormat="1" ht="15" customHeight="1" x14ac:dyDescent="0.2">
      <c r="A26" s="69" t="s">
        <v>272</v>
      </c>
      <c r="B26" s="139" t="s">
        <v>532</v>
      </c>
      <c r="C26" s="139" t="s">
        <v>533</v>
      </c>
      <c r="D26" s="221" t="s">
        <v>534</v>
      </c>
      <c r="E26" s="221" t="s">
        <v>535</v>
      </c>
      <c r="F26" s="70"/>
    </row>
    <row r="27" spans="1:6" s="40" customFormat="1" ht="15" customHeight="1" x14ac:dyDescent="0.2">
      <c r="A27" s="69" t="s">
        <v>273</v>
      </c>
      <c r="B27" s="139" t="s">
        <v>536</v>
      </c>
      <c r="C27" s="139" t="s">
        <v>537</v>
      </c>
      <c r="D27" s="221" t="s">
        <v>538</v>
      </c>
      <c r="E27" s="221" t="s">
        <v>539</v>
      </c>
      <c r="F27" s="70"/>
    </row>
    <row r="28" spans="1:6" s="40" customFormat="1" ht="15" customHeight="1" x14ac:dyDescent="0.2">
      <c r="A28" s="69" t="s">
        <v>274</v>
      </c>
      <c r="B28" s="139" t="s">
        <v>540</v>
      </c>
      <c r="C28" s="139" t="s">
        <v>541</v>
      </c>
      <c r="D28" s="221" t="s">
        <v>542</v>
      </c>
      <c r="E28" s="221" t="s">
        <v>543</v>
      </c>
      <c r="F28" s="70"/>
    </row>
    <row r="29" spans="1:6" s="40" customFormat="1" ht="15" customHeight="1" x14ac:dyDescent="0.2">
      <c r="A29" s="69" t="s">
        <v>275</v>
      </c>
      <c r="B29" s="139" t="s">
        <v>544</v>
      </c>
      <c r="C29" s="139" t="s">
        <v>545</v>
      </c>
      <c r="D29" s="221" t="s">
        <v>546</v>
      </c>
      <c r="E29" s="221" t="s">
        <v>547</v>
      </c>
      <c r="F29" s="70"/>
    </row>
    <row r="30" spans="1:6" s="40" customFormat="1" ht="15" customHeight="1" x14ac:dyDescent="0.2">
      <c r="A30" s="69" t="s">
        <v>278</v>
      </c>
      <c r="B30" s="139" t="s">
        <v>548</v>
      </c>
      <c r="C30" s="139" t="s">
        <v>549</v>
      </c>
      <c r="D30" s="221" t="s">
        <v>550</v>
      </c>
      <c r="E30" s="221" t="s">
        <v>551</v>
      </c>
      <c r="F30" s="70"/>
    </row>
    <row r="31" spans="1:6" s="40" customFormat="1" ht="15" customHeight="1" x14ac:dyDescent="0.2">
      <c r="A31" s="69" t="s">
        <v>280</v>
      </c>
      <c r="B31" s="139" t="s">
        <v>580</v>
      </c>
      <c r="C31" s="139" t="s">
        <v>581</v>
      </c>
      <c r="D31" s="221" t="s">
        <v>582</v>
      </c>
      <c r="E31" s="221" t="s">
        <v>583</v>
      </c>
      <c r="F31" s="70"/>
    </row>
    <row r="32" spans="1:6" s="40" customFormat="1" ht="15" customHeight="1" x14ac:dyDescent="0.2">
      <c r="A32" s="69" t="s">
        <v>281</v>
      </c>
      <c r="B32" s="139" t="s">
        <v>431</v>
      </c>
      <c r="C32" s="139" t="s">
        <v>432</v>
      </c>
      <c r="D32" s="221" t="s">
        <v>433</v>
      </c>
      <c r="E32" s="221" t="s">
        <v>434</v>
      </c>
      <c r="F32" s="70"/>
    </row>
    <row r="33" spans="1:6" s="40" customFormat="1" ht="15" customHeight="1" x14ac:dyDescent="0.2">
      <c r="A33" s="69" t="s">
        <v>282</v>
      </c>
      <c r="B33" s="139" t="s">
        <v>553</v>
      </c>
      <c r="C33" s="139" t="s">
        <v>554</v>
      </c>
      <c r="D33" s="221" t="s">
        <v>555</v>
      </c>
      <c r="E33" s="221" t="s">
        <v>556</v>
      </c>
      <c r="F33" s="70"/>
    </row>
    <row r="34" spans="1:6" s="40" customFormat="1" ht="15" customHeight="1" x14ac:dyDescent="0.2">
      <c r="A34" s="69" t="s">
        <v>283</v>
      </c>
      <c r="B34" s="139" t="s">
        <v>584</v>
      </c>
      <c r="C34" s="139" t="s">
        <v>285</v>
      </c>
      <c r="D34" s="221" t="s">
        <v>585</v>
      </c>
      <c r="E34" s="221" t="s">
        <v>586</v>
      </c>
      <c r="F34" s="70"/>
    </row>
    <row r="35" spans="1:6" s="40" customFormat="1" ht="15" customHeight="1" x14ac:dyDescent="0.2">
      <c r="A35" s="69" t="s">
        <v>288</v>
      </c>
      <c r="B35" s="139" t="s">
        <v>599</v>
      </c>
      <c r="C35" s="139" t="s">
        <v>600</v>
      </c>
      <c r="D35" s="221" t="s">
        <v>152</v>
      </c>
      <c r="E35" s="221" t="s">
        <v>152</v>
      </c>
      <c r="F35" s="70"/>
    </row>
    <row r="36" spans="1:6" s="40" customFormat="1" ht="15" customHeight="1" x14ac:dyDescent="0.2">
      <c r="A36" s="69" t="s">
        <v>289</v>
      </c>
      <c r="B36" s="139" t="s">
        <v>601</v>
      </c>
      <c r="C36" s="139" t="s">
        <v>602</v>
      </c>
      <c r="D36" s="221" t="s">
        <v>152</v>
      </c>
      <c r="E36" s="221" t="s">
        <v>152</v>
      </c>
      <c r="F36" s="70"/>
    </row>
    <row r="37" spans="1:6" s="40" customFormat="1" ht="15" customHeight="1" x14ac:dyDescent="0.2">
      <c r="A37" s="69" t="s">
        <v>552</v>
      </c>
      <c r="B37" s="139" t="s">
        <v>603</v>
      </c>
      <c r="C37" s="139" t="s">
        <v>604</v>
      </c>
      <c r="D37" s="221" t="s">
        <v>152</v>
      </c>
      <c r="E37" s="221" t="s">
        <v>152</v>
      </c>
      <c r="F37" s="70"/>
    </row>
    <row r="38" spans="1:6" s="40" customFormat="1" ht="15" customHeight="1" x14ac:dyDescent="0.2">
      <c r="A38" s="69" t="s">
        <v>557</v>
      </c>
      <c r="B38" s="139" t="s">
        <v>605</v>
      </c>
      <c r="C38" s="139" t="s">
        <v>606</v>
      </c>
      <c r="D38" s="221" t="s">
        <v>152</v>
      </c>
      <c r="E38" s="221" t="s">
        <v>152</v>
      </c>
      <c r="F38" s="70"/>
    </row>
    <row r="39" spans="1:6" s="40" customFormat="1" ht="15" customHeight="1" x14ac:dyDescent="0.2">
      <c r="A39" s="69" t="s">
        <v>558</v>
      </c>
      <c r="B39" s="139" t="s">
        <v>608</v>
      </c>
      <c r="C39" s="139" t="s">
        <v>607</v>
      </c>
      <c r="D39" s="221" t="s">
        <v>152</v>
      </c>
      <c r="E39" s="221" t="s">
        <v>152</v>
      </c>
      <c r="F39" s="70"/>
    </row>
    <row r="40" spans="1:6" s="40" customFormat="1" ht="15" customHeight="1" x14ac:dyDescent="0.2">
      <c r="A40" s="69" t="s">
        <v>559</v>
      </c>
      <c r="B40" s="139" t="s">
        <v>610</v>
      </c>
      <c r="C40" s="139" t="s">
        <v>609</v>
      </c>
      <c r="D40" s="221" t="s">
        <v>152</v>
      </c>
      <c r="E40" s="221" t="s">
        <v>152</v>
      </c>
      <c r="F40" s="70"/>
    </row>
    <row r="41" spans="1:6" s="40" customFormat="1" ht="15" customHeight="1" x14ac:dyDescent="0.2">
      <c r="A41" s="69" t="s">
        <v>297</v>
      </c>
      <c r="B41" s="139" t="s">
        <v>611</v>
      </c>
      <c r="C41" s="139" t="s">
        <v>612</v>
      </c>
      <c r="D41" s="221" t="s">
        <v>152</v>
      </c>
      <c r="E41" s="221" t="s">
        <v>152</v>
      </c>
      <c r="F41" s="70"/>
    </row>
    <row r="42" spans="1:6" s="40" customFormat="1" ht="15" customHeight="1" x14ac:dyDescent="0.2">
      <c r="A42" s="69" t="s">
        <v>298</v>
      </c>
      <c r="B42" s="139" t="s">
        <v>616</v>
      </c>
      <c r="C42" s="139" t="s">
        <v>613</v>
      </c>
      <c r="D42" s="221" t="s">
        <v>614</v>
      </c>
      <c r="E42" s="221" t="s">
        <v>615</v>
      </c>
      <c r="F42" s="70"/>
    </row>
    <row r="43" spans="1:6" s="40" customFormat="1" ht="15" customHeight="1" x14ac:dyDescent="0.2">
      <c r="A43" s="69" t="s">
        <v>587</v>
      </c>
      <c r="B43" s="139"/>
      <c r="C43" s="139"/>
      <c r="D43" s="221"/>
      <c r="E43" s="221"/>
      <c r="F43" s="70"/>
    </row>
    <row r="44" spans="1:6" s="40" customFormat="1" ht="15" customHeight="1" x14ac:dyDescent="0.2">
      <c r="A44" s="69" t="s">
        <v>299</v>
      </c>
      <c r="B44" s="139"/>
      <c r="C44" s="139"/>
      <c r="D44" s="221"/>
      <c r="E44" s="221"/>
      <c r="F44" s="70"/>
    </row>
    <row r="45" spans="1:6" s="40" customFormat="1" ht="15" customHeight="1" x14ac:dyDescent="0.2">
      <c r="A45" s="69" t="s">
        <v>588</v>
      </c>
      <c r="B45" s="139"/>
      <c r="C45" s="139"/>
      <c r="D45" s="221"/>
      <c r="E45" s="221"/>
      <c r="F45" s="70"/>
    </row>
    <row r="46" spans="1:6" s="40" customFormat="1" ht="15" customHeight="1" x14ac:dyDescent="0.2">
      <c r="A46" s="69" t="s">
        <v>589</v>
      </c>
      <c r="B46" s="139"/>
      <c r="C46" s="139"/>
      <c r="D46" s="221"/>
      <c r="E46" s="221"/>
      <c r="F46" s="70"/>
    </row>
    <row r="47" spans="1:6" s="40" customFormat="1" ht="15" customHeight="1" x14ac:dyDescent="0.2">
      <c r="A47" s="69" t="s">
        <v>590</v>
      </c>
      <c r="B47" s="139"/>
      <c r="C47" s="139"/>
      <c r="D47" s="221"/>
      <c r="E47" s="221"/>
      <c r="F47" s="70"/>
    </row>
    <row r="48" spans="1:6" s="40" customFormat="1" ht="15" customHeight="1" x14ac:dyDescent="0.2">
      <c r="A48" s="69" t="s">
        <v>591</v>
      </c>
      <c r="B48" s="139"/>
      <c r="C48" s="139"/>
      <c r="D48" s="221"/>
      <c r="E48" s="221"/>
      <c r="F48" s="70"/>
    </row>
    <row r="49" spans="1:12" s="40" customFormat="1" ht="15" customHeight="1" x14ac:dyDescent="0.2">
      <c r="A49" s="69" t="s">
        <v>592</v>
      </c>
      <c r="B49" s="139"/>
      <c r="C49" s="139"/>
      <c r="D49" s="221"/>
      <c r="E49" s="221"/>
      <c r="F49" s="70"/>
    </row>
    <row r="50" spans="1:12" s="40" customFormat="1" ht="15" customHeight="1" x14ac:dyDescent="0.2">
      <c r="A50" s="69" t="s">
        <v>593</v>
      </c>
      <c r="B50" s="139"/>
      <c r="C50" s="139"/>
      <c r="D50" s="221"/>
      <c r="E50" s="221"/>
      <c r="F50" s="70"/>
    </row>
    <row r="51" spans="1:12" s="40" customFormat="1" ht="15" customHeight="1" x14ac:dyDescent="0.2">
      <c r="A51" s="69" t="s">
        <v>594</v>
      </c>
      <c r="B51" s="139"/>
      <c r="C51" s="139"/>
      <c r="D51" s="221"/>
      <c r="E51" s="221"/>
      <c r="F51" s="70"/>
    </row>
    <row r="52" spans="1:12" s="40" customFormat="1" ht="12.75" x14ac:dyDescent="0.2">
      <c r="A52" s="778"/>
      <c r="B52" s="779"/>
      <c r="C52" s="779"/>
      <c r="D52" s="779"/>
      <c r="E52" s="780"/>
      <c r="F52" s="70"/>
    </row>
    <row r="53" spans="1:12" s="40" customFormat="1" ht="15.75" customHeight="1" x14ac:dyDescent="0.2">
      <c r="A53" s="71" t="s">
        <v>38</v>
      </c>
      <c r="B53" s="72" t="s">
        <v>52</v>
      </c>
      <c r="C53" s="73" t="s">
        <v>39</v>
      </c>
      <c r="D53" s="73" t="s">
        <v>155</v>
      </c>
      <c r="E53" s="73" t="s">
        <v>156</v>
      </c>
      <c r="L53" s="40">
        <f>6300/7</f>
        <v>900</v>
      </c>
    </row>
    <row r="54" spans="1:12" s="40" customFormat="1" ht="21" x14ac:dyDescent="0.2">
      <c r="A54" s="74" t="s">
        <v>157</v>
      </c>
      <c r="B54" s="75" t="s">
        <v>560</v>
      </c>
      <c r="C54" s="76" t="s">
        <v>113</v>
      </c>
      <c r="D54" s="77">
        <v>44503</v>
      </c>
      <c r="E54" s="78">
        <f>IF(SUM(D56:E58)&lt;&gt;0,MEDIAN(D56:E58),"")</f>
        <v>2199.9</v>
      </c>
    </row>
    <row r="55" spans="1:12" s="40" customFormat="1" ht="12.75" x14ac:dyDescent="0.2">
      <c r="A55" s="79" t="s">
        <v>159</v>
      </c>
      <c r="B55" s="762" t="s">
        <v>160</v>
      </c>
      <c r="C55" s="762"/>
      <c r="D55" s="763" t="s">
        <v>145</v>
      </c>
      <c r="E55" s="763"/>
    </row>
    <row r="56" spans="1:12" s="40" customFormat="1" ht="12.75" x14ac:dyDescent="0.2">
      <c r="A56" s="69" t="s">
        <v>151</v>
      </c>
      <c r="B56" s="767" t="str">
        <f>VLOOKUP(A56,$A$11:$E$35,3,0)</f>
        <v>SERTÃO</v>
      </c>
      <c r="C56" s="767"/>
      <c r="D56" s="764">
        <v>2209.16</v>
      </c>
      <c r="E56" s="764"/>
      <c r="H56" s="40" t="e">
        <f>D58/#REF!</f>
        <v>#REF!</v>
      </c>
    </row>
    <row r="57" spans="1:12" s="40" customFormat="1" ht="12.75" x14ac:dyDescent="0.2">
      <c r="A57" s="69" t="s">
        <v>153</v>
      </c>
      <c r="B57" s="768" t="str">
        <f>VLOOKUP(A57,$A$11:$E$35,3,0)</f>
        <v>LEROY MERLIN</v>
      </c>
      <c r="C57" s="769"/>
      <c r="D57" s="761">
        <v>2199.9</v>
      </c>
      <c r="E57" s="761"/>
    </row>
    <row r="58" spans="1:12" s="40" customFormat="1" ht="12.75" x14ac:dyDescent="0.2">
      <c r="A58" s="69" t="s">
        <v>154</v>
      </c>
      <c r="B58" s="765" t="str">
        <f>VLOOKUP(A58,$A$11:$E$35,3,0)</f>
        <v>ACQUAFORT</v>
      </c>
      <c r="C58" s="766"/>
      <c r="D58" s="759">
        <v>1979.9</v>
      </c>
      <c r="E58" s="759"/>
    </row>
    <row r="59" spans="1:12" s="40" customFormat="1" ht="12.75" x14ac:dyDescent="0.2">
      <c r="A59" s="80"/>
      <c r="B59" s="81"/>
      <c r="C59" s="81"/>
      <c r="D59" s="82"/>
      <c r="E59" s="83"/>
    </row>
    <row r="60" spans="1:12" s="40" customFormat="1" ht="12.75" x14ac:dyDescent="0.2">
      <c r="A60" s="71" t="s">
        <v>38</v>
      </c>
      <c r="B60" s="72" t="s">
        <v>52</v>
      </c>
      <c r="C60" s="73" t="s">
        <v>39</v>
      </c>
      <c r="D60" s="73" t="s">
        <v>155</v>
      </c>
      <c r="E60" s="73" t="s">
        <v>156</v>
      </c>
    </row>
    <row r="61" spans="1:12" s="40" customFormat="1" ht="12.75" x14ac:dyDescent="0.2">
      <c r="A61" s="74" t="s">
        <v>161</v>
      </c>
      <c r="B61" s="75" t="s">
        <v>255</v>
      </c>
      <c r="C61" s="76" t="s">
        <v>113</v>
      </c>
      <c r="D61" s="77">
        <v>44503</v>
      </c>
      <c r="E61" s="78">
        <f>IF(SUM(D63:E65)&lt;&gt;0,MEDIAN(D63:E65),"")</f>
        <v>44.85</v>
      </c>
    </row>
    <row r="62" spans="1:12" s="40" customFormat="1" ht="12.75" x14ac:dyDescent="0.2">
      <c r="A62" s="79" t="s">
        <v>159</v>
      </c>
      <c r="B62" s="762" t="s">
        <v>160</v>
      </c>
      <c r="C62" s="762"/>
      <c r="D62" s="763" t="s">
        <v>145</v>
      </c>
      <c r="E62" s="763"/>
    </row>
    <row r="63" spans="1:12" s="40" customFormat="1" ht="12.75" x14ac:dyDescent="0.2">
      <c r="A63" s="69" t="s">
        <v>166</v>
      </c>
      <c r="B63" s="767" t="str">
        <f>VLOOKUP(A63,$A$11:$E$35,3,0)</f>
        <v>AMERICANAS</v>
      </c>
      <c r="C63" s="767"/>
      <c r="D63" s="764">
        <v>44.85</v>
      </c>
      <c r="E63" s="764"/>
    </row>
    <row r="64" spans="1:12" s="40" customFormat="1" ht="12.75" x14ac:dyDescent="0.2">
      <c r="A64" s="69" t="s">
        <v>167</v>
      </c>
      <c r="B64" s="768" t="str">
        <f>VLOOKUP(A64,$A$11:$E$35,3,0)</f>
        <v>MAGAZINE LUIZA</v>
      </c>
      <c r="C64" s="769"/>
      <c r="D64" s="761">
        <v>38.130000000000003</v>
      </c>
      <c r="E64" s="761"/>
    </row>
    <row r="65" spans="1:7" s="40" customFormat="1" ht="12.75" x14ac:dyDescent="0.2">
      <c r="A65" s="69" t="s">
        <v>153</v>
      </c>
      <c r="B65" s="765" t="str">
        <f>VLOOKUP(A65,$A$11:$E$35,3,0)</f>
        <v>LEROY MERLIN</v>
      </c>
      <c r="C65" s="766"/>
      <c r="D65" s="759">
        <v>50.14</v>
      </c>
      <c r="E65" s="759"/>
    </row>
    <row r="66" spans="1:7" s="40" customFormat="1" ht="12.75" x14ac:dyDescent="0.2">
      <c r="A66" s="227"/>
      <c r="B66" s="228"/>
      <c r="C66" s="229"/>
      <c r="D66" s="230"/>
      <c r="E66" s="230"/>
    </row>
    <row r="67" spans="1:7" s="40" customFormat="1" ht="12.75" x14ac:dyDescent="0.2">
      <c r="A67" s="71" t="s">
        <v>38</v>
      </c>
      <c r="B67" s="72" t="s">
        <v>52</v>
      </c>
      <c r="C67" s="73" t="s">
        <v>39</v>
      </c>
      <c r="D67" s="73" t="s">
        <v>155</v>
      </c>
      <c r="E67" s="73" t="s">
        <v>156</v>
      </c>
    </row>
    <row r="68" spans="1:7" s="40" customFormat="1" ht="31.5" x14ac:dyDescent="0.2">
      <c r="A68" s="74" t="s">
        <v>163</v>
      </c>
      <c r="B68" s="75" t="s">
        <v>561</v>
      </c>
      <c r="C68" s="76" t="s">
        <v>143</v>
      </c>
      <c r="D68" s="77">
        <v>44467</v>
      </c>
      <c r="E68" s="78">
        <f>IF(SUM(D70:E72)&lt;&gt;0,MEDIAN(D70:E72),"")</f>
        <v>10277.200000000001</v>
      </c>
    </row>
    <row r="69" spans="1:7" s="40" customFormat="1" ht="12.75" x14ac:dyDescent="0.2">
      <c r="A69" s="79" t="s">
        <v>159</v>
      </c>
      <c r="B69" s="762" t="s">
        <v>160</v>
      </c>
      <c r="C69" s="762"/>
      <c r="D69" s="763" t="s">
        <v>145</v>
      </c>
      <c r="E69" s="763"/>
    </row>
    <row r="70" spans="1:7" s="40" customFormat="1" ht="12.75" x14ac:dyDescent="0.2">
      <c r="A70" s="69" t="s">
        <v>168</v>
      </c>
      <c r="B70" s="767" t="str">
        <f>VLOOKUP(A70,$A$11:$E$35,3,0)</f>
        <v>PERMUTION</v>
      </c>
      <c r="C70" s="767"/>
      <c r="D70" s="764">
        <v>10277.200000000001</v>
      </c>
      <c r="E70" s="764"/>
    </row>
    <row r="71" spans="1:7" s="40" customFormat="1" ht="12.75" x14ac:dyDescent="0.2">
      <c r="A71" s="69" t="s">
        <v>169</v>
      </c>
      <c r="B71" s="768" t="str">
        <f>VLOOKUP(A71,$A$11:$E$35,3,0)</f>
        <v>MINASMED FILTROS</v>
      </c>
      <c r="C71" s="769"/>
      <c r="D71" s="761">
        <v>9717</v>
      </c>
      <c r="E71" s="761"/>
    </row>
    <row r="72" spans="1:7" s="40" customFormat="1" ht="12.75" x14ac:dyDescent="0.2">
      <c r="A72" s="69" t="s">
        <v>244</v>
      </c>
      <c r="B72" s="765" t="str">
        <f>VLOOKUP(A72,$A$11:$E$35,3,0)</f>
        <v>SICA INOX</v>
      </c>
      <c r="C72" s="766"/>
      <c r="D72" s="759">
        <v>16180</v>
      </c>
      <c r="E72" s="759"/>
    </row>
    <row r="73" spans="1:7" s="40" customFormat="1" ht="12.75" x14ac:dyDescent="0.2">
      <c r="A73" s="80"/>
      <c r="B73" s="81"/>
      <c r="C73" s="81"/>
      <c r="D73" s="82"/>
      <c r="E73" s="83"/>
    </row>
    <row r="74" spans="1:7" s="40" customFormat="1" ht="12.75" x14ac:dyDescent="0.2">
      <c r="A74" s="71" t="s">
        <v>38</v>
      </c>
      <c r="B74" s="72" t="s">
        <v>52</v>
      </c>
      <c r="C74" s="73" t="s">
        <v>39</v>
      </c>
      <c r="D74" s="73" t="s">
        <v>155</v>
      </c>
      <c r="E74" s="73" t="s">
        <v>156</v>
      </c>
    </row>
    <row r="75" spans="1:7" s="40" customFormat="1" ht="23.25" customHeight="1" x14ac:dyDescent="0.2">
      <c r="A75" s="74" t="s">
        <v>164</v>
      </c>
      <c r="B75" s="75" t="s">
        <v>456</v>
      </c>
      <c r="C75" s="76" t="s">
        <v>113</v>
      </c>
      <c r="D75" s="77">
        <v>44466</v>
      </c>
      <c r="E75" s="78">
        <f>IF(SUM(D77:E79)&lt;&gt;0,MEDIAN(D77:E79),"")</f>
        <v>218.77</v>
      </c>
      <c r="G75" s="40" t="s">
        <v>301</v>
      </c>
    </row>
    <row r="76" spans="1:7" s="40" customFormat="1" ht="12.75" x14ac:dyDescent="0.2">
      <c r="A76" s="79" t="s">
        <v>159</v>
      </c>
      <c r="B76" s="762" t="s">
        <v>160</v>
      </c>
      <c r="C76" s="762"/>
      <c r="D76" s="763" t="s">
        <v>145</v>
      </c>
      <c r="E76" s="763"/>
    </row>
    <row r="77" spans="1:7" s="40" customFormat="1" ht="12.75" x14ac:dyDescent="0.2">
      <c r="A77" s="69" t="s">
        <v>167</v>
      </c>
      <c r="B77" s="767" t="str">
        <f>VLOOKUP(A77,$A$11:$E$35,3,0)</f>
        <v>MAGAZINE LUIZA</v>
      </c>
      <c r="C77" s="767"/>
      <c r="D77" s="764">
        <v>235.22</v>
      </c>
      <c r="E77" s="764"/>
    </row>
    <row r="78" spans="1:7" s="40" customFormat="1" ht="12.75" x14ac:dyDescent="0.2">
      <c r="A78" s="69" t="s">
        <v>245</v>
      </c>
      <c r="B78" s="768" t="str">
        <f>VLOOKUP(A78,$A$11:$E$35,3,0)</f>
        <v>ILUMINIM</v>
      </c>
      <c r="C78" s="769"/>
      <c r="D78" s="761">
        <v>218.77</v>
      </c>
      <c r="E78" s="761"/>
    </row>
    <row r="79" spans="1:7" s="40" customFormat="1" ht="12.75" x14ac:dyDescent="0.2">
      <c r="A79" s="197" t="s">
        <v>246</v>
      </c>
      <c r="B79" s="765" t="str">
        <f>VLOOKUP(A79,$A$11:$E$35,3,0)</f>
        <v>ELETRORASTRO</v>
      </c>
      <c r="C79" s="766"/>
      <c r="D79" s="759">
        <v>192.45</v>
      </c>
      <c r="E79" s="759"/>
    </row>
    <row r="80" spans="1:7" s="40" customFormat="1" ht="12.75" x14ac:dyDescent="0.2">
      <c r="A80" s="80"/>
      <c r="B80" s="81"/>
      <c r="C80" s="81"/>
      <c r="D80" s="82"/>
      <c r="E80" s="83"/>
    </row>
    <row r="81" spans="1:10" s="40" customFormat="1" ht="12.75" x14ac:dyDescent="0.2">
      <c r="A81" s="71" t="s">
        <v>38</v>
      </c>
      <c r="B81" s="72" t="s">
        <v>52</v>
      </c>
      <c r="C81" s="73" t="s">
        <v>39</v>
      </c>
      <c r="D81" s="73" t="s">
        <v>155</v>
      </c>
      <c r="E81" s="73" t="s">
        <v>156</v>
      </c>
    </row>
    <row r="82" spans="1:10" s="40" customFormat="1" ht="21" x14ac:dyDescent="0.2">
      <c r="A82" s="74" t="s">
        <v>165</v>
      </c>
      <c r="B82" s="199" t="s">
        <v>457</v>
      </c>
      <c r="C82" s="76" t="s">
        <v>113</v>
      </c>
      <c r="D82" s="77">
        <v>44503</v>
      </c>
      <c r="E82" s="78">
        <f>IF(SUM(D84:E86)&lt;&gt;0,MEDIAN(D84:E86),"")</f>
        <v>268.77</v>
      </c>
    </row>
    <row r="83" spans="1:10" s="40" customFormat="1" ht="12.75" x14ac:dyDescent="0.2">
      <c r="A83" s="79" t="s">
        <v>159</v>
      </c>
      <c r="B83" s="762" t="s">
        <v>160</v>
      </c>
      <c r="C83" s="762"/>
      <c r="D83" s="763" t="s">
        <v>145</v>
      </c>
      <c r="E83" s="763"/>
    </row>
    <row r="84" spans="1:10" s="40" customFormat="1" ht="12.75" x14ac:dyDescent="0.2">
      <c r="A84" s="69" t="s">
        <v>167</v>
      </c>
      <c r="B84" s="767" t="str">
        <f>VLOOKUP(A84,$A$11:$E$35,3,0)</f>
        <v>MAGAZINE LUIZA</v>
      </c>
      <c r="C84" s="767"/>
      <c r="D84" s="764">
        <v>283.94</v>
      </c>
      <c r="E84" s="764"/>
    </row>
    <row r="85" spans="1:10" s="40" customFormat="1" ht="12.75" x14ac:dyDescent="0.2">
      <c r="A85" s="69" t="s">
        <v>245</v>
      </c>
      <c r="B85" s="768" t="str">
        <f>VLOOKUP(A85,$A$11:$E$35,3,0)</f>
        <v>ILUMINIM</v>
      </c>
      <c r="C85" s="769"/>
      <c r="D85" s="761">
        <v>268.77</v>
      </c>
      <c r="E85" s="761"/>
    </row>
    <row r="86" spans="1:10" s="40" customFormat="1" ht="12.75" x14ac:dyDescent="0.2">
      <c r="A86" s="69" t="s">
        <v>247</v>
      </c>
      <c r="B86" s="765" t="str">
        <f>VLOOKUP(A86,$A$11:$E$35,3,0)</f>
        <v>COMPRA LED</v>
      </c>
      <c r="C86" s="766"/>
      <c r="D86" s="759">
        <v>210.25</v>
      </c>
      <c r="E86" s="759"/>
      <c r="J86" s="40">
        <f>2</f>
        <v>2</v>
      </c>
    </row>
    <row r="87" spans="1:10" s="40" customFormat="1" ht="12.75" x14ac:dyDescent="0.2">
      <c r="A87" s="80"/>
      <c r="B87" s="81"/>
      <c r="C87" s="81"/>
      <c r="D87" s="82"/>
      <c r="E87" s="83"/>
    </row>
    <row r="88" spans="1:10" s="40" customFormat="1" ht="12.75" x14ac:dyDescent="0.2">
      <c r="A88" s="71" t="s">
        <v>38</v>
      </c>
      <c r="B88" s="72" t="s">
        <v>52</v>
      </c>
      <c r="C88" s="73" t="s">
        <v>39</v>
      </c>
      <c r="D88" s="73" t="s">
        <v>155</v>
      </c>
      <c r="E88" s="73" t="s">
        <v>156</v>
      </c>
    </row>
    <row r="89" spans="1:10" s="40" customFormat="1" ht="32.25" customHeight="1" x14ac:dyDescent="0.2">
      <c r="A89" s="74" t="s">
        <v>302</v>
      </c>
      <c r="B89" s="75" t="s">
        <v>562</v>
      </c>
      <c r="C89" s="76" t="s">
        <v>113</v>
      </c>
      <c r="D89" s="77">
        <v>44466</v>
      </c>
      <c r="E89" s="78">
        <f>IF(SUM(D91:E93)&lt;&gt;0,MEDIAN(D91:E93),"")</f>
        <v>72.34</v>
      </c>
    </row>
    <row r="90" spans="1:10" s="40" customFormat="1" ht="12.75" x14ac:dyDescent="0.2">
      <c r="A90" s="79" t="s">
        <v>159</v>
      </c>
      <c r="B90" s="762" t="s">
        <v>160</v>
      </c>
      <c r="C90" s="762"/>
      <c r="D90" s="763" t="s">
        <v>145</v>
      </c>
      <c r="E90" s="763"/>
    </row>
    <row r="91" spans="1:10" s="40" customFormat="1" ht="12.75" x14ac:dyDescent="0.2">
      <c r="A91" s="196" t="s">
        <v>166</v>
      </c>
      <c r="B91" s="767" t="str">
        <f>VLOOKUP(A91,$A$11:$E$35,3,0)</f>
        <v>AMERICANAS</v>
      </c>
      <c r="C91" s="767"/>
      <c r="D91" s="764">
        <v>72.34</v>
      </c>
      <c r="E91" s="764"/>
    </row>
    <row r="92" spans="1:10" s="40" customFormat="1" ht="12.75" x14ac:dyDescent="0.2">
      <c r="A92" s="69" t="s">
        <v>167</v>
      </c>
      <c r="B92" s="768" t="str">
        <f>VLOOKUP(A92,$A$11:$E$35,3,0)</f>
        <v>MAGAZINE LUIZA</v>
      </c>
      <c r="C92" s="769"/>
      <c r="D92" s="761">
        <v>68.400000000000006</v>
      </c>
      <c r="E92" s="761"/>
    </row>
    <row r="93" spans="1:10" s="40" customFormat="1" ht="12.75" x14ac:dyDescent="0.2">
      <c r="A93" s="197" t="s">
        <v>248</v>
      </c>
      <c r="B93" s="765" t="str">
        <f>VLOOKUP(A93,$A$11:$E$35,3,0)</f>
        <v>ZERO 41 LED</v>
      </c>
      <c r="C93" s="766"/>
      <c r="D93" s="759">
        <v>105.3</v>
      </c>
      <c r="E93" s="759"/>
    </row>
    <row r="94" spans="1:10" s="40" customFormat="1" ht="12.75" x14ac:dyDescent="0.2">
      <c r="A94" s="253"/>
      <c r="B94" s="254"/>
      <c r="C94" s="254"/>
      <c r="D94" s="255"/>
      <c r="E94" s="256"/>
    </row>
    <row r="95" spans="1:10" s="40" customFormat="1" ht="12.75" x14ac:dyDescent="0.2">
      <c r="A95" s="71" t="s">
        <v>38</v>
      </c>
      <c r="B95" s="72" t="s">
        <v>52</v>
      </c>
      <c r="C95" s="73" t="s">
        <v>39</v>
      </c>
      <c r="D95" s="73" t="s">
        <v>155</v>
      </c>
      <c r="E95" s="73" t="s">
        <v>156</v>
      </c>
    </row>
    <row r="96" spans="1:10" s="40" customFormat="1" ht="39.75" customHeight="1" x14ac:dyDescent="0.2">
      <c r="A96" s="74" t="s">
        <v>303</v>
      </c>
      <c r="B96" s="75" t="e">
        <f>#REF!</f>
        <v>#REF!</v>
      </c>
      <c r="C96" s="76" t="s">
        <v>113</v>
      </c>
      <c r="D96" s="77">
        <v>44503</v>
      </c>
      <c r="E96" s="78">
        <f>IF(SUM(D98:E100)&lt;&gt;0,MEDIAN(D98:E100),"")</f>
        <v>152.99</v>
      </c>
    </row>
    <row r="97" spans="1:5" s="40" customFormat="1" ht="12.75" x14ac:dyDescent="0.2">
      <c r="A97" s="79" t="s">
        <v>159</v>
      </c>
      <c r="B97" s="762" t="s">
        <v>160</v>
      </c>
      <c r="C97" s="762"/>
      <c r="D97" s="763" t="s">
        <v>145</v>
      </c>
      <c r="E97" s="763"/>
    </row>
    <row r="98" spans="1:5" s="40" customFormat="1" ht="12.75" x14ac:dyDescent="0.2">
      <c r="A98" s="196" t="s">
        <v>166</v>
      </c>
      <c r="B98" s="767" t="str">
        <f>VLOOKUP(A98,$A$11:$E$35,3,0)</f>
        <v>AMERICANAS</v>
      </c>
      <c r="C98" s="767"/>
      <c r="D98" s="764">
        <v>152.99</v>
      </c>
      <c r="E98" s="764"/>
    </row>
    <row r="99" spans="1:5" s="40" customFormat="1" ht="12.75" x14ac:dyDescent="0.2">
      <c r="A99" s="69" t="s">
        <v>288</v>
      </c>
      <c r="B99" s="768" t="str">
        <f>VLOOKUP(A99,$A$11:$E$35,3,0)</f>
        <v>HIDRO ECO BR</v>
      </c>
      <c r="C99" s="769"/>
      <c r="D99" s="761">
        <v>165.01</v>
      </c>
      <c r="E99" s="761"/>
    </row>
    <row r="100" spans="1:5" s="40" customFormat="1" ht="12.75" x14ac:dyDescent="0.2">
      <c r="A100" s="197" t="s">
        <v>289</v>
      </c>
      <c r="B100" s="765" t="str">
        <f>VLOOKUP(A100,$A$11:$E$51,3,0)</f>
        <v>TECNO FERRAMENTAS</v>
      </c>
      <c r="C100" s="766"/>
      <c r="D100" s="759">
        <v>128.99</v>
      </c>
      <c r="E100" s="759"/>
    </row>
    <row r="101" spans="1:5" s="40" customFormat="1" ht="12.75" x14ac:dyDescent="0.2">
      <c r="A101" s="253"/>
      <c r="B101" s="254"/>
      <c r="C101" s="254"/>
      <c r="D101" s="255"/>
      <c r="E101" s="256"/>
    </row>
    <row r="102" spans="1:5" s="40" customFormat="1" ht="12.75" x14ac:dyDescent="0.2">
      <c r="A102" s="71" t="s">
        <v>38</v>
      </c>
      <c r="B102" s="72" t="s">
        <v>52</v>
      </c>
      <c r="C102" s="73" t="s">
        <v>39</v>
      </c>
      <c r="D102" s="73" t="s">
        <v>155</v>
      </c>
      <c r="E102" s="73" t="s">
        <v>156</v>
      </c>
    </row>
    <row r="103" spans="1:5" s="40" customFormat="1" ht="12.75" x14ac:dyDescent="0.2">
      <c r="A103" s="74" t="s">
        <v>304</v>
      </c>
      <c r="B103" s="75" t="e">
        <f>#REF!</f>
        <v>#REF!</v>
      </c>
      <c r="C103" s="76" t="s">
        <v>113</v>
      </c>
      <c r="D103" s="77">
        <v>44504</v>
      </c>
      <c r="E103" s="78">
        <f>IF(SUM(D105:E107)&lt;&gt;0,MEDIAN(D105:E107),"")</f>
        <v>2.11</v>
      </c>
    </row>
    <row r="104" spans="1:5" s="40" customFormat="1" ht="12.75" x14ac:dyDescent="0.2">
      <c r="A104" s="79" t="s">
        <v>159</v>
      </c>
      <c r="B104" s="762" t="s">
        <v>160</v>
      </c>
      <c r="C104" s="762"/>
      <c r="D104" s="763" t="s">
        <v>145</v>
      </c>
      <c r="E104" s="763"/>
    </row>
    <row r="105" spans="1:5" s="40" customFormat="1" ht="12.75" x14ac:dyDescent="0.2">
      <c r="A105" s="196" t="s">
        <v>552</v>
      </c>
      <c r="B105" s="767" t="str">
        <f>VLOOKUP(A105,$A$11:$E$51,3,0)</f>
        <v>LOJA ELETRICA LTDA</v>
      </c>
      <c r="C105" s="767"/>
      <c r="D105" s="764">
        <v>2.5499999999999998</v>
      </c>
      <c r="E105" s="764"/>
    </row>
    <row r="106" spans="1:5" s="40" customFormat="1" ht="12.75" x14ac:dyDescent="0.2">
      <c r="A106" s="69" t="s">
        <v>557</v>
      </c>
      <c r="B106" s="760" t="str">
        <f>VLOOKUP(A106,$A$11:$E$51,3,0)</f>
        <v>MABORE</v>
      </c>
      <c r="C106" s="760"/>
      <c r="D106" s="761">
        <v>2.11</v>
      </c>
      <c r="E106" s="761"/>
    </row>
    <row r="107" spans="1:5" s="40" customFormat="1" ht="12.75" x14ac:dyDescent="0.2">
      <c r="A107" s="197" t="s">
        <v>558</v>
      </c>
      <c r="B107" s="758" t="str">
        <f>VLOOKUP(A107,$A$11:$E$51,3,0)</f>
        <v>CASA DOS PARAFUSOS</v>
      </c>
      <c r="C107" s="758"/>
      <c r="D107" s="759">
        <v>1.98</v>
      </c>
      <c r="E107" s="759"/>
    </row>
    <row r="108" spans="1:5" s="40" customFormat="1" ht="12.75" x14ac:dyDescent="0.2">
      <c r="A108" s="253"/>
      <c r="B108" s="254"/>
      <c r="C108" s="254"/>
      <c r="D108" s="255"/>
      <c r="E108" s="256"/>
    </row>
    <row r="109" spans="1:5" s="40" customFormat="1" ht="12.75" x14ac:dyDescent="0.2">
      <c r="A109" s="71" t="s">
        <v>38</v>
      </c>
      <c r="B109" s="72" t="s">
        <v>52</v>
      </c>
      <c r="C109" s="73" t="s">
        <v>39</v>
      </c>
      <c r="D109" s="73" t="s">
        <v>155</v>
      </c>
      <c r="E109" s="73" t="s">
        <v>156</v>
      </c>
    </row>
    <row r="110" spans="1:5" s="40" customFormat="1" ht="12.75" x14ac:dyDescent="0.2">
      <c r="A110" s="74" t="s">
        <v>305</v>
      </c>
      <c r="B110" s="75" t="e">
        <f>#REF!</f>
        <v>#REF!</v>
      </c>
      <c r="C110" s="76" t="s">
        <v>113</v>
      </c>
      <c r="D110" s="77">
        <v>44504</v>
      </c>
      <c r="E110" s="78">
        <f>IF(SUM(D112:E114)&lt;&gt;0,MEDIAN(D112:E114),"")</f>
        <v>59.48</v>
      </c>
    </row>
    <row r="111" spans="1:5" s="40" customFormat="1" ht="12.75" x14ac:dyDescent="0.2">
      <c r="A111" s="79" t="s">
        <v>159</v>
      </c>
      <c r="B111" s="762" t="s">
        <v>160</v>
      </c>
      <c r="C111" s="762"/>
      <c r="D111" s="763" t="s">
        <v>145</v>
      </c>
      <c r="E111" s="763"/>
    </row>
    <row r="112" spans="1:5" s="40" customFormat="1" ht="12.75" x14ac:dyDescent="0.2">
      <c r="A112" s="196" t="s">
        <v>559</v>
      </c>
      <c r="B112" s="760" t="str">
        <f>VLOOKUP(A112,$A$11:$E$51,3,0)</f>
        <v>ORUBY</v>
      </c>
      <c r="C112" s="760"/>
      <c r="D112" s="764">
        <v>61.99</v>
      </c>
      <c r="E112" s="764"/>
    </row>
    <row r="113" spans="1:5" s="40" customFormat="1" ht="12.75" x14ac:dyDescent="0.2">
      <c r="A113" s="69" t="s">
        <v>297</v>
      </c>
      <c r="B113" s="760" t="str">
        <f>VLOOKUP(A113,$A$11:$E$51,3,0)</f>
        <v>ELETRO CENTER</v>
      </c>
      <c r="C113" s="760"/>
      <c r="D113" s="761">
        <v>59.48</v>
      </c>
      <c r="E113" s="761"/>
    </row>
    <row r="114" spans="1:5" s="40" customFormat="1" ht="12.75" x14ac:dyDescent="0.2">
      <c r="A114" s="197" t="s">
        <v>298</v>
      </c>
      <c r="B114" s="758" t="str">
        <f>VLOOKUP(A114,$A$11:$E$51,3,0)</f>
        <v>ELETRICA POLO</v>
      </c>
      <c r="C114" s="758"/>
      <c r="D114" s="759">
        <v>57.6</v>
      </c>
      <c r="E114" s="759"/>
    </row>
    <row r="115" spans="1:5" s="40" customFormat="1" ht="12.75" x14ac:dyDescent="0.2">
      <c r="A115" s="253"/>
      <c r="B115" s="254"/>
      <c r="C115" s="254"/>
      <c r="D115" s="255"/>
      <c r="E115" s="256"/>
    </row>
    <row r="116" spans="1:5" s="40" customFormat="1" ht="12.75" x14ac:dyDescent="0.2">
      <c r="A116" s="71" t="s">
        <v>38</v>
      </c>
      <c r="B116" s="72" t="s">
        <v>52</v>
      </c>
      <c r="C116" s="73" t="s">
        <v>39</v>
      </c>
      <c r="D116" s="73" t="s">
        <v>155</v>
      </c>
      <c r="E116" s="73" t="s">
        <v>156</v>
      </c>
    </row>
    <row r="117" spans="1:5" s="40" customFormat="1" ht="23.25" customHeight="1" x14ac:dyDescent="0.2">
      <c r="A117" s="74" t="s">
        <v>306</v>
      </c>
      <c r="B117" s="75" t="e">
        <f>#REF!</f>
        <v>#REF!</v>
      </c>
      <c r="C117" s="76" t="s">
        <v>113</v>
      </c>
      <c r="D117" s="77">
        <v>44504</v>
      </c>
      <c r="E117" s="78">
        <f>IF(SUM(D119:E121)&lt;&gt;0,MEDIAN(D119:E121),"")</f>
        <v>59.48</v>
      </c>
    </row>
    <row r="118" spans="1:5" s="40" customFormat="1" ht="12.75" x14ac:dyDescent="0.2">
      <c r="A118" s="79" t="s">
        <v>159</v>
      </c>
      <c r="B118" s="762" t="s">
        <v>160</v>
      </c>
      <c r="C118" s="762"/>
      <c r="D118" s="763" t="s">
        <v>145</v>
      </c>
      <c r="E118" s="763"/>
    </row>
    <row r="119" spans="1:5" s="40" customFormat="1" ht="12.75" x14ac:dyDescent="0.2">
      <c r="A119" s="196" t="s">
        <v>559</v>
      </c>
      <c r="B119" s="760" t="str">
        <f>VLOOKUP(A119,$A$11:$E$51,3,0)</f>
        <v>ORUBY</v>
      </c>
      <c r="C119" s="760"/>
      <c r="D119" s="764">
        <v>61.99</v>
      </c>
      <c r="E119" s="764"/>
    </row>
    <row r="120" spans="1:5" s="40" customFormat="1" ht="12.75" x14ac:dyDescent="0.2">
      <c r="A120" s="69" t="s">
        <v>297</v>
      </c>
      <c r="B120" s="760" t="str">
        <f>VLOOKUP(A120,$A$11:$E$51,3,0)</f>
        <v>ELETRO CENTER</v>
      </c>
      <c r="C120" s="760"/>
      <c r="D120" s="761">
        <v>59.48</v>
      </c>
      <c r="E120" s="761"/>
    </row>
    <row r="121" spans="1:5" s="40" customFormat="1" ht="12.75" x14ac:dyDescent="0.2">
      <c r="A121" s="197" t="s">
        <v>298</v>
      </c>
      <c r="B121" s="758" t="str">
        <f>VLOOKUP(A121,$A$11:$E$51,3,0)</f>
        <v>ELETRICA POLO</v>
      </c>
      <c r="C121" s="758"/>
      <c r="D121" s="759">
        <v>57.6</v>
      </c>
      <c r="E121" s="759"/>
    </row>
    <row r="122" spans="1:5" s="40" customFormat="1" ht="12.75" x14ac:dyDescent="0.2">
      <c r="A122" s="253"/>
      <c r="B122" s="254"/>
      <c r="C122" s="254"/>
      <c r="D122" s="255"/>
      <c r="E122" s="256"/>
    </row>
    <row r="123" spans="1:5" s="40" customFormat="1" ht="12.75" x14ac:dyDescent="0.2">
      <c r="A123" s="253"/>
      <c r="B123" s="254"/>
      <c r="C123" s="254"/>
      <c r="D123" s="255"/>
      <c r="E123" s="256"/>
    </row>
    <row r="124" spans="1:5" s="40" customFormat="1" ht="12.75" x14ac:dyDescent="0.2">
      <c r="A124" s="253"/>
      <c r="B124" s="254"/>
      <c r="C124" s="254"/>
      <c r="D124" s="255"/>
      <c r="E124" s="256"/>
    </row>
    <row r="125" spans="1:5" s="40" customFormat="1" ht="12.75" x14ac:dyDescent="0.2">
      <c r="A125" s="253"/>
      <c r="B125" s="254"/>
      <c r="C125" s="254"/>
      <c r="D125" s="255"/>
      <c r="E125" s="256"/>
    </row>
    <row r="126" spans="1:5" s="40" customFormat="1" ht="12.75" x14ac:dyDescent="0.2">
      <c r="A126" s="253"/>
      <c r="B126" s="254"/>
      <c r="C126" s="254"/>
      <c r="D126" s="255"/>
      <c r="E126" s="256"/>
    </row>
    <row r="127" spans="1:5" s="40" customFormat="1" ht="12.75" x14ac:dyDescent="0.2">
      <c r="A127" s="253"/>
      <c r="B127" s="254"/>
      <c r="C127" s="254"/>
      <c r="D127" s="255"/>
      <c r="E127" s="256"/>
    </row>
    <row r="128" spans="1:5" s="40" customFormat="1" ht="12.75" x14ac:dyDescent="0.2">
      <c r="A128" s="253"/>
      <c r="B128" s="254"/>
      <c r="C128" s="254"/>
      <c r="D128" s="255"/>
      <c r="E128" s="256"/>
    </row>
    <row r="129" spans="1:5" s="40" customFormat="1" ht="12.75" x14ac:dyDescent="0.2">
      <c r="A129" s="253"/>
      <c r="B129" s="254"/>
      <c r="C129" s="254"/>
      <c r="D129" s="255"/>
      <c r="E129" s="256"/>
    </row>
    <row r="130" spans="1:5" s="40" customFormat="1" ht="12.75" x14ac:dyDescent="0.2">
      <c r="A130" s="253"/>
      <c r="B130" s="254"/>
      <c r="C130" s="254"/>
      <c r="D130" s="255"/>
      <c r="E130" s="256"/>
    </row>
    <row r="131" spans="1:5" s="40" customFormat="1" ht="12.75" x14ac:dyDescent="0.2">
      <c r="A131" s="71" t="s">
        <v>38</v>
      </c>
      <c r="B131" s="72" t="s">
        <v>52</v>
      </c>
      <c r="C131" s="73" t="s">
        <v>39</v>
      </c>
      <c r="D131" s="73" t="s">
        <v>155</v>
      </c>
      <c r="E131" s="73" t="s">
        <v>156</v>
      </c>
    </row>
    <row r="132" spans="1:5" s="40" customFormat="1" ht="31.5" x14ac:dyDescent="0.2">
      <c r="A132" s="74" t="s">
        <v>304</v>
      </c>
      <c r="B132" s="75" t="s">
        <v>487</v>
      </c>
      <c r="C132" s="76" t="s">
        <v>113</v>
      </c>
      <c r="D132" s="77">
        <v>44504</v>
      </c>
      <c r="E132" s="78">
        <f>IF(SUM(D134:E136)&lt;&gt;0,MEDIAN(D134:E136),"")</f>
        <v>6025.3</v>
      </c>
    </row>
    <row r="133" spans="1:5" s="40" customFormat="1" ht="12.75" x14ac:dyDescent="0.2">
      <c r="A133" s="79" t="s">
        <v>159</v>
      </c>
      <c r="B133" s="762" t="s">
        <v>160</v>
      </c>
      <c r="C133" s="762"/>
      <c r="D133" s="763" t="s">
        <v>145</v>
      </c>
      <c r="E133" s="763"/>
    </row>
    <row r="134" spans="1:5" s="40" customFormat="1" ht="12.75" x14ac:dyDescent="0.2">
      <c r="A134" s="196" t="s">
        <v>269</v>
      </c>
      <c r="B134" s="767" t="str">
        <f>VLOOKUP(A134,$A$11:$E$35,3,0)</f>
        <v>CRISTAL VIDROS</v>
      </c>
      <c r="C134" s="767"/>
      <c r="D134" s="764">
        <v>6983.99</v>
      </c>
      <c r="E134" s="764"/>
    </row>
    <row r="135" spans="1:5" s="40" customFormat="1" ht="12.75" x14ac:dyDescent="0.2">
      <c r="A135" s="69" t="s">
        <v>270</v>
      </c>
      <c r="B135" s="768" t="str">
        <f>VLOOKUP(A135,$A$11:$E$35,3,0)</f>
        <v>NELSON VIDROS</v>
      </c>
      <c r="C135" s="769"/>
      <c r="D135" s="761">
        <v>5895.2</v>
      </c>
      <c r="E135" s="761"/>
    </row>
    <row r="136" spans="1:5" s="40" customFormat="1" ht="12.75" x14ac:dyDescent="0.2">
      <c r="A136" s="197" t="s">
        <v>271</v>
      </c>
      <c r="B136" s="765" t="str">
        <f>VLOOKUP(A136,$A$11:$E$35,3,0)</f>
        <v>VARANDA VIDROS</v>
      </c>
      <c r="C136" s="766"/>
      <c r="D136" s="759">
        <v>6025.3</v>
      </c>
      <c r="E136" s="759"/>
    </row>
    <row r="137" spans="1:5" s="40" customFormat="1" ht="12.75" x14ac:dyDescent="0.2">
      <c r="A137" s="202"/>
      <c r="D137" s="84"/>
      <c r="E137" s="203"/>
    </row>
    <row r="138" spans="1:5" s="40" customFormat="1" ht="12.75" x14ac:dyDescent="0.2">
      <c r="A138" s="71" t="s">
        <v>38</v>
      </c>
      <c r="B138" s="72" t="s">
        <v>52</v>
      </c>
      <c r="C138" s="73" t="s">
        <v>39</v>
      </c>
      <c r="D138" s="73" t="s">
        <v>155</v>
      </c>
      <c r="E138" s="73" t="s">
        <v>156</v>
      </c>
    </row>
    <row r="139" spans="1:5" s="40" customFormat="1" ht="31.5" x14ac:dyDescent="0.2">
      <c r="A139" s="74" t="s">
        <v>304</v>
      </c>
      <c r="B139" s="199" t="s">
        <v>485</v>
      </c>
      <c r="C139" s="76" t="s">
        <v>44</v>
      </c>
      <c r="D139" s="77">
        <v>44504</v>
      </c>
      <c r="E139" s="78">
        <f>IF(SUM(D141:E143)&lt;&gt;0,MEDIAN(D141:E143),"")</f>
        <v>1400</v>
      </c>
    </row>
    <row r="140" spans="1:5" s="40" customFormat="1" ht="12.75" x14ac:dyDescent="0.2">
      <c r="A140" s="79" t="s">
        <v>159</v>
      </c>
      <c r="B140" s="762" t="s">
        <v>160</v>
      </c>
      <c r="C140" s="762"/>
      <c r="D140" s="763" t="s">
        <v>145</v>
      </c>
      <c r="E140" s="763"/>
    </row>
    <row r="141" spans="1:5" s="40" customFormat="1" ht="12.75" x14ac:dyDescent="0.2">
      <c r="A141" s="196" t="s">
        <v>272</v>
      </c>
      <c r="B141" s="767" t="str">
        <f>VLOOKUP(A141,$A$11:$E$35,3,0)</f>
        <v>ESQUADRIAS SÃO CHINE</v>
      </c>
      <c r="C141" s="767"/>
      <c r="D141" s="764">
        <v>1100</v>
      </c>
      <c r="E141" s="764"/>
    </row>
    <row r="142" spans="1:5" s="40" customFormat="1" ht="12.75" x14ac:dyDescent="0.2">
      <c r="A142" s="69" t="s">
        <v>273</v>
      </c>
      <c r="B142" s="768" t="str">
        <f>VLOOKUP(A142,$A$11:$E$35,3,0)</f>
        <v>ESQUADRIAS GUAÇU</v>
      </c>
      <c r="C142" s="769"/>
      <c r="D142" s="761">
        <v>1400</v>
      </c>
      <c r="E142" s="761"/>
    </row>
    <row r="143" spans="1:5" s="40" customFormat="1" ht="12.75" x14ac:dyDescent="0.2">
      <c r="A143" s="197" t="s">
        <v>274</v>
      </c>
      <c r="B143" s="765" t="str">
        <f>VLOOKUP(A143,$A$11:$E$35,3,0)</f>
        <v>KS ESQUADRIAS</v>
      </c>
      <c r="C143" s="766"/>
      <c r="D143" s="759">
        <v>1980</v>
      </c>
      <c r="E143" s="759"/>
    </row>
    <row r="144" spans="1:5" s="40" customFormat="1" ht="12.75" x14ac:dyDescent="0.2">
      <c r="A144" s="202"/>
      <c r="D144" s="84"/>
      <c r="E144" s="203"/>
    </row>
    <row r="145" spans="1:5" s="40" customFormat="1" ht="12.75" x14ac:dyDescent="0.2">
      <c r="A145" s="71" t="s">
        <v>38</v>
      </c>
      <c r="B145" s="72" t="s">
        <v>52</v>
      </c>
      <c r="C145" s="73" t="s">
        <v>39</v>
      </c>
      <c r="D145" s="73" t="s">
        <v>155</v>
      </c>
      <c r="E145" s="73" t="s">
        <v>156</v>
      </c>
    </row>
    <row r="146" spans="1:5" s="40" customFormat="1" ht="31.5" x14ac:dyDescent="0.2">
      <c r="A146" s="74" t="s">
        <v>305</v>
      </c>
      <c r="B146" s="199" t="s">
        <v>563</v>
      </c>
      <c r="C146" s="76" t="s">
        <v>113</v>
      </c>
      <c r="D146" s="77">
        <v>44504</v>
      </c>
      <c r="E146" s="78">
        <f>IF(SUM(D148:E150)&lt;&gt;0,MEDIAN(D148:E150),"")</f>
        <v>2687.37</v>
      </c>
    </row>
    <row r="147" spans="1:5" s="40" customFormat="1" ht="12.75" x14ac:dyDescent="0.2">
      <c r="A147" s="79" t="s">
        <v>159</v>
      </c>
      <c r="B147" s="762" t="s">
        <v>160</v>
      </c>
      <c r="C147" s="762"/>
      <c r="D147" s="763" t="s">
        <v>145</v>
      </c>
      <c r="E147" s="763"/>
    </row>
    <row r="148" spans="1:5" s="40" customFormat="1" ht="12.75" x14ac:dyDescent="0.2">
      <c r="A148" s="196" t="s">
        <v>272</v>
      </c>
      <c r="B148" s="767" t="str">
        <f>VLOOKUP(A148,$A$11:$E$35,3,0)</f>
        <v>ESQUADRIAS SÃO CHINE</v>
      </c>
      <c r="C148" s="767"/>
      <c r="D148" s="764">
        <v>2687.37</v>
      </c>
      <c r="E148" s="764"/>
    </row>
    <row r="149" spans="1:5" s="40" customFormat="1" ht="12.75" x14ac:dyDescent="0.2">
      <c r="A149" s="69" t="s">
        <v>273</v>
      </c>
      <c r="B149" s="768" t="str">
        <f>VLOOKUP(A149,$A$11:$E$35,3,0)</f>
        <v>ESQUADRIAS GUAÇU</v>
      </c>
      <c r="C149" s="769"/>
      <c r="D149" s="761">
        <v>4775.12</v>
      </c>
      <c r="E149" s="761"/>
    </row>
    <row r="150" spans="1:5" s="40" customFormat="1" ht="12.75" x14ac:dyDescent="0.2">
      <c r="A150" s="197" t="s">
        <v>274</v>
      </c>
      <c r="B150" s="765" t="str">
        <f>VLOOKUP(A150,$A$11:$E$35,3,0)</f>
        <v>KS ESQUADRIAS</v>
      </c>
      <c r="C150" s="766"/>
      <c r="D150" s="759">
        <v>2368</v>
      </c>
      <c r="E150" s="759"/>
    </row>
    <row r="151" spans="1:5" s="40" customFormat="1" ht="12.75" x14ac:dyDescent="0.2">
      <c r="A151" s="202"/>
      <c r="D151" s="84"/>
      <c r="E151" s="203"/>
    </row>
    <row r="152" spans="1:5" s="40" customFormat="1" ht="12.75" x14ac:dyDescent="0.2">
      <c r="A152" s="71" t="s">
        <v>38</v>
      </c>
      <c r="B152" s="72" t="s">
        <v>52</v>
      </c>
      <c r="C152" s="73" t="s">
        <v>39</v>
      </c>
      <c r="D152" s="73" t="s">
        <v>155</v>
      </c>
      <c r="E152" s="73" t="s">
        <v>156</v>
      </c>
    </row>
    <row r="153" spans="1:5" s="40" customFormat="1" ht="42" x14ac:dyDescent="0.2">
      <c r="A153" s="74" t="s">
        <v>306</v>
      </c>
      <c r="B153" s="199" t="s">
        <v>943</v>
      </c>
      <c r="C153" s="76" t="s">
        <v>158</v>
      </c>
      <c r="D153" s="77">
        <v>44504</v>
      </c>
      <c r="E153" s="78">
        <f>IF(SUM(D155:E157)&lt;&gt;0,MEDIAN(D155:E157),"")</f>
        <v>16104.65</v>
      </c>
    </row>
    <row r="154" spans="1:5" s="40" customFormat="1" ht="12.75" x14ac:dyDescent="0.2">
      <c r="A154" s="79" t="s">
        <v>159</v>
      </c>
      <c r="B154" s="762" t="s">
        <v>160</v>
      </c>
      <c r="C154" s="762"/>
      <c r="D154" s="763" t="s">
        <v>145</v>
      </c>
      <c r="E154" s="763"/>
    </row>
    <row r="155" spans="1:5" s="40" customFormat="1" ht="12.75" x14ac:dyDescent="0.2">
      <c r="A155" s="196" t="s">
        <v>269</v>
      </c>
      <c r="B155" s="767" t="str">
        <f>VLOOKUP(A155,$A$11:$E$35,3,0)</f>
        <v>CRISTAL VIDROS</v>
      </c>
      <c r="C155" s="767"/>
      <c r="D155" s="764">
        <v>17918.86</v>
      </c>
      <c r="E155" s="764"/>
    </row>
    <row r="156" spans="1:5" s="40" customFormat="1" ht="12.75" x14ac:dyDescent="0.2">
      <c r="A156" s="69" t="s">
        <v>270</v>
      </c>
      <c r="B156" s="768" t="str">
        <f>VLOOKUP(A156,$A$11:$E$35,3,0)</f>
        <v>NELSON VIDROS</v>
      </c>
      <c r="C156" s="769"/>
      <c r="D156" s="761">
        <v>15845.5</v>
      </c>
      <c r="E156" s="761"/>
    </row>
    <row r="157" spans="1:5" s="40" customFormat="1" ht="12.75" x14ac:dyDescent="0.2">
      <c r="A157" s="197" t="s">
        <v>271</v>
      </c>
      <c r="B157" s="765" t="str">
        <f>VLOOKUP(A157,$A$11:$E$35,3,0)</f>
        <v>VARANDA VIDROS</v>
      </c>
      <c r="C157" s="766"/>
      <c r="D157" s="759">
        <v>16104.65</v>
      </c>
      <c r="E157" s="759"/>
    </row>
    <row r="158" spans="1:5" s="40" customFormat="1" ht="12.75" x14ac:dyDescent="0.2">
      <c r="A158" s="202"/>
      <c r="D158" s="84"/>
      <c r="E158" s="203"/>
    </row>
    <row r="159" spans="1:5" s="40" customFormat="1" ht="12.75" x14ac:dyDescent="0.2">
      <c r="A159" s="71" t="s">
        <v>38</v>
      </c>
      <c r="B159" s="72" t="s">
        <v>52</v>
      </c>
      <c r="C159" s="73" t="s">
        <v>39</v>
      </c>
      <c r="D159" s="73" t="s">
        <v>155</v>
      </c>
      <c r="E159" s="73" t="s">
        <v>156</v>
      </c>
    </row>
    <row r="160" spans="1:5" s="40" customFormat="1" ht="31.5" x14ac:dyDescent="0.2">
      <c r="A160" s="74" t="s">
        <v>307</v>
      </c>
      <c r="B160" s="75" t="s">
        <v>488</v>
      </c>
      <c r="C160" s="76" t="s">
        <v>113</v>
      </c>
      <c r="D160" s="77">
        <v>44463</v>
      </c>
      <c r="E160" s="78">
        <f>IF(SUM(D162:E164)&lt;&gt;0,MEDIAN(D162:E164),"")</f>
        <v>238490</v>
      </c>
    </row>
    <row r="161" spans="1:5" s="40" customFormat="1" ht="12.75" x14ac:dyDescent="0.2">
      <c r="A161" s="79" t="s">
        <v>159</v>
      </c>
      <c r="B161" s="762" t="s">
        <v>160</v>
      </c>
      <c r="C161" s="762"/>
      <c r="D161" s="763" t="s">
        <v>145</v>
      </c>
      <c r="E161" s="763"/>
    </row>
    <row r="162" spans="1:5" s="40" customFormat="1" ht="12.75" x14ac:dyDescent="0.2">
      <c r="A162" s="69" t="s">
        <v>281</v>
      </c>
      <c r="B162" s="768" t="str">
        <f>VLOOKUP(A162,$A$11:$E$35,3,0)</f>
        <v>GAÚCHA CONSTRUÇÕES ELÉTRICAS</v>
      </c>
      <c r="C162" s="769"/>
      <c r="D162" s="770">
        <v>238490</v>
      </c>
      <c r="E162" s="770"/>
    </row>
    <row r="163" spans="1:5" s="40" customFormat="1" ht="12.75" x14ac:dyDescent="0.2">
      <c r="A163" s="69" t="s">
        <v>282</v>
      </c>
      <c r="B163" s="768" t="str">
        <f>VLOOKUP(A163,$A$11:$E$52,3,0)</f>
        <v>KIMARKI</v>
      </c>
      <c r="C163" s="769"/>
      <c r="D163" s="771">
        <v>225543</v>
      </c>
      <c r="E163" s="771"/>
    </row>
    <row r="164" spans="1:5" s="40" customFormat="1" ht="12.75" x14ac:dyDescent="0.2">
      <c r="A164" s="69" t="s">
        <v>283</v>
      </c>
      <c r="B164" s="768" t="str">
        <f>VLOOKUP(A164,$A$11:$E$52,3,0)</f>
        <v>CONTRAFO</v>
      </c>
      <c r="C164" s="769"/>
      <c r="D164" s="772">
        <v>396750</v>
      </c>
      <c r="E164" s="772"/>
    </row>
    <row r="165" spans="1:5" s="40" customFormat="1" ht="12.75" x14ac:dyDescent="0.2">
      <c r="A165" s="202"/>
      <c r="D165" s="84"/>
      <c r="E165" s="203"/>
    </row>
    <row r="166" spans="1:5" s="40" customFormat="1" ht="12.75" x14ac:dyDescent="0.2">
      <c r="A166" s="71" t="s">
        <v>38</v>
      </c>
      <c r="B166" s="72" t="s">
        <v>52</v>
      </c>
      <c r="C166" s="73" t="s">
        <v>39</v>
      </c>
      <c r="D166" s="73" t="s">
        <v>155</v>
      </c>
      <c r="E166" s="73" t="s">
        <v>156</v>
      </c>
    </row>
    <row r="167" spans="1:5" s="40" customFormat="1" ht="44.25" customHeight="1" x14ac:dyDescent="0.2">
      <c r="A167" s="198" t="s">
        <v>308</v>
      </c>
      <c r="B167" s="75" t="s">
        <v>564</v>
      </c>
      <c r="C167" s="76" t="s">
        <v>113</v>
      </c>
      <c r="D167" s="77">
        <v>44462</v>
      </c>
      <c r="E167" s="78">
        <f>IF(SUM(D169:E171)&lt;&gt;0,MEDIAN(D169:E171),"")</f>
        <v>260190</v>
      </c>
    </row>
    <row r="168" spans="1:5" s="40" customFormat="1" ht="12.75" x14ac:dyDescent="0.2">
      <c r="A168" s="79" t="s">
        <v>159</v>
      </c>
      <c r="B168" s="762" t="s">
        <v>160</v>
      </c>
      <c r="C168" s="762"/>
      <c r="D168" s="763" t="s">
        <v>145</v>
      </c>
      <c r="E168" s="763"/>
    </row>
    <row r="169" spans="1:5" s="40" customFormat="1" ht="12.75" x14ac:dyDescent="0.2">
      <c r="A169" s="196" t="s">
        <v>275</v>
      </c>
      <c r="B169" s="773" t="str">
        <f>VLOOKUP(A169,$A$11:$E$52,3,0)</f>
        <v>GERAFORTE</v>
      </c>
      <c r="C169" s="774"/>
      <c r="D169" s="770">
        <v>317900</v>
      </c>
      <c r="E169" s="770"/>
    </row>
    <row r="170" spans="1:5" s="40" customFormat="1" ht="12.75" x14ac:dyDescent="0.2">
      <c r="A170" s="69" t="s">
        <v>278</v>
      </c>
      <c r="B170" s="768" t="str">
        <f>VLOOKUP(A170,$A$11:$E$52,3,0)</f>
        <v>STEMAC</v>
      </c>
      <c r="C170" s="769"/>
      <c r="D170" s="771">
        <v>260190</v>
      </c>
      <c r="E170" s="771"/>
    </row>
    <row r="171" spans="1:5" s="40" customFormat="1" ht="12.75" x14ac:dyDescent="0.2">
      <c r="A171" s="197" t="s">
        <v>280</v>
      </c>
      <c r="B171" s="765" t="str">
        <f>VLOOKUP(A171,$A$11:$E$52,3,0)</f>
        <v>GENERAC</v>
      </c>
      <c r="C171" s="766"/>
      <c r="D171" s="772">
        <v>234560</v>
      </c>
      <c r="E171" s="772"/>
    </row>
    <row r="172" spans="1:5" s="40" customFormat="1" ht="12.75" x14ac:dyDescent="0.2">
      <c r="A172" s="202"/>
      <c r="D172" s="84"/>
      <c r="E172" s="203"/>
    </row>
    <row r="173" spans="1:5" s="40" customFormat="1" ht="12.75" x14ac:dyDescent="0.2">
      <c r="A173" s="71" t="s">
        <v>38</v>
      </c>
      <c r="B173" s="72" t="s">
        <v>52</v>
      </c>
      <c r="C173" s="73" t="s">
        <v>39</v>
      </c>
      <c r="D173" s="73" t="s">
        <v>155</v>
      </c>
      <c r="E173" s="73" t="s">
        <v>156</v>
      </c>
    </row>
    <row r="174" spans="1:5" s="40" customFormat="1" ht="12.75" x14ac:dyDescent="0.2">
      <c r="A174" s="198" t="s">
        <v>309</v>
      </c>
      <c r="B174" s="199" t="e">
        <f>'ORÇAMENTO_N DES'!#REF!</f>
        <v>#REF!</v>
      </c>
      <c r="C174" s="76" t="s">
        <v>113</v>
      </c>
      <c r="D174" s="77">
        <v>44462</v>
      </c>
      <c r="E174" s="78">
        <f>IF(SUM(D176:E178)&lt;&gt;0,MEDIAN(D176:E178),"")</f>
        <v>294606</v>
      </c>
    </row>
    <row r="175" spans="1:5" s="40" customFormat="1" ht="12.75" x14ac:dyDescent="0.2">
      <c r="A175" s="79" t="s">
        <v>159</v>
      </c>
      <c r="B175" s="762" t="s">
        <v>160</v>
      </c>
      <c r="C175" s="762"/>
      <c r="D175" s="763" t="s">
        <v>145</v>
      </c>
      <c r="E175" s="763"/>
    </row>
    <row r="176" spans="1:5" s="40" customFormat="1" ht="12.75" x14ac:dyDescent="0.2">
      <c r="A176" s="69" t="s">
        <v>282</v>
      </c>
      <c r="B176" s="767" t="str">
        <f>VLOOKUP(A176,$A$11:$E$35,3,0)</f>
        <v>KIMARKI</v>
      </c>
      <c r="C176" s="767"/>
      <c r="D176" s="770">
        <v>317900</v>
      </c>
      <c r="E176" s="770"/>
    </row>
    <row r="177" spans="1:6" s="40" customFormat="1" ht="12.75" x14ac:dyDescent="0.2">
      <c r="A177" s="69" t="s">
        <v>283</v>
      </c>
      <c r="B177" s="768" t="str">
        <f>VLOOKUP(A177,$A$11:$E$35,3,0)</f>
        <v>CONTRAFO</v>
      </c>
      <c r="C177" s="769"/>
      <c r="D177" s="771">
        <v>260190</v>
      </c>
      <c r="E177" s="771"/>
    </row>
    <row r="178" spans="1:6" s="40" customFormat="1" ht="12.75" x14ac:dyDescent="0.2">
      <c r="A178" s="69" t="s">
        <v>288</v>
      </c>
      <c r="B178" s="765" t="str">
        <f>VLOOKUP(A178,$A$11:$E$35,3,0)</f>
        <v>HIDRO ECO BR</v>
      </c>
      <c r="C178" s="766"/>
      <c r="D178" s="772">
        <v>294606</v>
      </c>
      <c r="E178" s="772"/>
    </row>
    <row r="179" spans="1:6" s="40" customFormat="1" ht="12.75" x14ac:dyDescent="0.2">
      <c r="A179" s="202"/>
      <c r="D179" s="84"/>
      <c r="E179" s="203"/>
    </row>
    <row r="180" spans="1:6" s="40" customFormat="1" ht="12.75" x14ac:dyDescent="0.2">
      <c r="A180" s="71" t="s">
        <v>38</v>
      </c>
      <c r="B180" s="72" t="s">
        <v>52</v>
      </c>
      <c r="C180" s="73" t="s">
        <v>39</v>
      </c>
      <c r="D180" s="73" t="s">
        <v>155</v>
      </c>
      <c r="E180" s="73" t="s">
        <v>156</v>
      </c>
    </row>
    <row r="181" spans="1:6" s="40" customFormat="1" ht="12.75" x14ac:dyDescent="0.2">
      <c r="A181" s="74" t="s">
        <v>310</v>
      </c>
      <c r="B181" s="75" t="e">
        <f>'ORÇAMENTO_N DES'!#REF!</f>
        <v>#REF!</v>
      </c>
      <c r="C181" s="76" t="s">
        <v>143</v>
      </c>
      <c r="D181" s="77">
        <v>44466</v>
      </c>
      <c r="E181" s="78">
        <f>IF(SUM(D183:E185)&lt;&gt;0,MEDIAN(D183:E185),"")</f>
        <v>50000</v>
      </c>
    </row>
    <row r="182" spans="1:6" s="40" customFormat="1" ht="12.75" x14ac:dyDescent="0.2">
      <c r="A182" s="79" t="s">
        <v>159</v>
      </c>
      <c r="B182" s="762" t="s">
        <v>160</v>
      </c>
      <c r="C182" s="762"/>
      <c r="D182" s="763" t="s">
        <v>145</v>
      </c>
      <c r="E182" s="763"/>
    </row>
    <row r="183" spans="1:6" s="40" customFormat="1" ht="12.75" x14ac:dyDescent="0.2">
      <c r="A183" s="196" t="s">
        <v>557</v>
      </c>
      <c r="B183" s="767" t="str">
        <f>VLOOKUP(A183,$A$11:$E$51,3,0)</f>
        <v>MABORE</v>
      </c>
      <c r="C183" s="767"/>
      <c r="D183" s="764">
        <v>55000</v>
      </c>
      <c r="E183" s="764"/>
    </row>
    <row r="184" spans="1:6" s="40" customFormat="1" ht="12.75" x14ac:dyDescent="0.2">
      <c r="A184" s="69" t="s">
        <v>558</v>
      </c>
      <c r="B184" s="768" t="str">
        <f>VLOOKUP(A184,$A$11:$E$51,3,0)</f>
        <v>CASA DOS PARAFUSOS</v>
      </c>
      <c r="C184" s="769"/>
      <c r="D184" s="761">
        <v>39500</v>
      </c>
      <c r="E184" s="761"/>
    </row>
    <row r="185" spans="1:6" s="40" customFormat="1" ht="12.75" x14ac:dyDescent="0.2">
      <c r="A185" s="197" t="s">
        <v>559</v>
      </c>
      <c r="B185" s="765" t="str">
        <f>VLOOKUP(A185,$A$11:$E$51,3,0)</f>
        <v>ORUBY</v>
      </c>
      <c r="C185" s="766"/>
      <c r="D185" s="759">
        <v>50000</v>
      </c>
      <c r="E185" s="759"/>
    </row>
    <row r="186" spans="1:6" s="40" customFormat="1" ht="12.75" x14ac:dyDescent="0.2">
      <c r="A186" s="202"/>
      <c r="D186" s="84"/>
      <c r="E186" s="203"/>
    </row>
    <row r="187" spans="1:6" s="40" customFormat="1" ht="12.75" x14ac:dyDescent="0.2"/>
    <row r="188" spans="1:6" s="40" customFormat="1" ht="12.75" x14ac:dyDescent="0.2"/>
    <row r="189" spans="1:6" s="40" customFormat="1" ht="12.75" x14ac:dyDescent="0.2"/>
    <row r="190" spans="1:6" s="40" customFormat="1" ht="12.75" x14ac:dyDescent="0.2"/>
    <row r="191" spans="1:6" s="40" customFormat="1" x14ac:dyDescent="0.25">
      <c r="F191"/>
    </row>
    <row r="192" spans="1:6" s="40" customFormat="1" x14ac:dyDescent="0.25">
      <c r="F192"/>
    </row>
  </sheetData>
  <dataConsolidate/>
  <mergeCells count="148">
    <mergeCell ref="A4:E4"/>
    <mergeCell ref="D5:E5"/>
    <mergeCell ref="D7:E8"/>
    <mergeCell ref="A52:E52"/>
    <mergeCell ref="B55:C55"/>
    <mergeCell ref="D55:E55"/>
    <mergeCell ref="B62:C62"/>
    <mergeCell ref="D62:E62"/>
    <mergeCell ref="B63:C63"/>
    <mergeCell ref="D63:E63"/>
    <mergeCell ref="B64:C64"/>
    <mergeCell ref="D64:E64"/>
    <mergeCell ref="B56:C56"/>
    <mergeCell ref="D56:E56"/>
    <mergeCell ref="B57:C57"/>
    <mergeCell ref="D57:E57"/>
    <mergeCell ref="B58:C58"/>
    <mergeCell ref="D58:E58"/>
    <mergeCell ref="B71:C71"/>
    <mergeCell ref="D71:E71"/>
    <mergeCell ref="B72:C72"/>
    <mergeCell ref="D72:E72"/>
    <mergeCell ref="B76:C76"/>
    <mergeCell ref="D76:E76"/>
    <mergeCell ref="B65:C65"/>
    <mergeCell ref="D65:E65"/>
    <mergeCell ref="B69:C69"/>
    <mergeCell ref="D69:E69"/>
    <mergeCell ref="B70:C70"/>
    <mergeCell ref="D70:E70"/>
    <mergeCell ref="B83:C83"/>
    <mergeCell ref="D83:E83"/>
    <mergeCell ref="B84:C84"/>
    <mergeCell ref="D84:E84"/>
    <mergeCell ref="B85:C85"/>
    <mergeCell ref="D85:E85"/>
    <mergeCell ref="B77:C77"/>
    <mergeCell ref="D77:E77"/>
    <mergeCell ref="B78:C78"/>
    <mergeCell ref="D78:E78"/>
    <mergeCell ref="B79:C79"/>
    <mergeCell ref="D79:E79"/>
    <mergeCell ref="B92:C92"/>
    <mergeCell ref="D92:E92"/>
    <mergeCell ref="B93:C93"/>
    <mergeCell ref="D93:E93"/>
    <mergeCell ref="B104:C104"/>
    <mergeCell ref="D104:E104"/>
    <mergeCell ref="B86:C86"/>
    <mergeCell ref="D86:E86"/>
    <mergeCell ref="B90:C90"/>
    <mergeCell ref="D90:E90"/>
    <mergeCell ref="B91:C91"/>
    <mergeCell ref="D91:E91"/>
    <mergeCell ref="B97:C97"/>
    <mergeCell ref="D97:E97"/>
    <mergeCell ref="B98:C98"/>
    <mergeCell ref="D98:E98"/>
    <mergeCell ref="B99:C99"/>
    <mergeCell ref="D99:E99"/>
    <mergeCell ref="B100:C100"/>
    <mergeCell ref="D100:E100"/>
    <mergeCell ref="B140:C140"/>
    <mergeCell ref="D140:E140"/>
    <mergeCell ref="B141:C141"/>
    <mergeCell ref="D141:E141"/>
    <mergeCell ref="B142:C142"/>
    <mergeCell ref="D142:E142"/>
    <mergeCell ref="B105:C105"/>
    <mergeCell ref="D105:E105"/>
    <mergeCell ref="B106:C106"/>
    <mergeCell ref="D106:E106"/>
    <mergeCell ref="B107:C107"/>
    <mergeCell ref="D107:E107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11:C111"/>
    <mergeCell ref="D111:E111"/>
    <mergeCell ref="B112:C112"/>
    <mergeCell ref="D112:E112"/>
    <mergeCell ref="B149:C149"/>
    <mergeCell ref="D149:E149"/>
    <mergeCell ref="B150:C150"/>
    <mergeCell ref="D150:E150"/>
    <mergeCell ref="B154:C154"/>
    <mergeCell ref="D154:E154"/>
    <mergeCell ref="B143:C143"/>
    <mergeCell ref="D143:E143"/>
    <mergeCell ref="B147:C147"/>
    <mergeCell ref="D147:E147"/>
    <mergeCell ref="B148:C148"/>
    <mergeCell ref="D148:E148"/>
    <mergeCell ref="B161:C161"/>
    <mergeCell ref="D161:E161"/>
    <mergeCell ref="B162:C162"/>
    <mergeCell ref="D162:E162"/>
    <mergeCell ref="B163:C163"/>
    <mergeCell ref="D163:E163"/>
    <mergeCell ref="B155:C155"/>
    <mergeCell ref="D155:E155"/>
    <mergeCell ref="B156:C156"/>
    <mergeCell ref="D156:E156"/>
    <mergeCell ref="B157:C157"/>
    <mergeCell ref="D157:E157"/>
    <mergeCell ref="B170:C170"/>
    <mergeCell ref="D170:E170"/>
    <mergeCell ref="B171:C171"/>
    <mergeCell ref="D171:E171"/>
    <mergeCell ref="B175:C175"/>
    <mergeCell ref="D175:E175"/>
    <mergeCell ref="B164:C164"/>
    <mergeCell ref="D164:E164"/>
    <mergeCell ref="B168:C168"/>
    <mergeCell ref="D168:E168"/>
    <mergeCell ref="B169:C169"/>
    <mergeCell ref="D169:E169"/>
    <mergeCell ref="B185:C185"/>
    <mergeCell ref="D185:E185"/>
    <mergeCell ref="B182:C182"/>
    <mergeCell ref="D182:E182"/>
    <mergeCell ref="B183:C183"/>
    <mergeCell ref="D183:E183"/>
    <mergeCell ref="B184:C184"/>
    <mergeCell ref="D184:E184"/>
    <mergeCell ref="B176:C176"/>
    <mergeCell ref="D176:E176"/>
    <mergeCell ref="B177:C177"/>
    <mergeCell ref="D177:E177"/>
    <mergeCell ref="B178:C178"/>
    <mergeCell ref="D178:E178"/>
    <mergeCell ref="B121:C121"/>
    <mergeCell ref="D121:E121"/>
    <mergeCell ref="B113:C113"/>
    <mergeCell ref="D113:E113"/>
    <mergeCell ref="B114:C114"/>
    <mergeCell ref="D114:E114"/>
    <mergeCell ref="B118:C118"/>
    <mergeCell ref="D118:E118"/>
    <mergeCell ref="B119:C119"/>
    <mergeCell ref="D119:E119"/>
    <mergeCell ref="B120:C120"/>
    <mergeCell ref="D120:E120"/>
  </mergeCells>
  <phoneticPr fontId="2" type="noConversion"/>
  <dataValidations count="4">
    <dataValidation type="list" allowBlank="1" showInputMessage="1" showErrorMessage="1" sqref="A183:A185 A100 A105:A107 A112:A115 A119:A129" xr:uid="{00000000-0002-0000-0700-000000000000}">
      <formula1>$A$11:$A$51</formula1>
    </dataValidation>
    <dataValidation type="list" allowBlank="1" showInputMessage="1" showErrorMessage="1" sqref="A163:A164 A169:A171 A176:A178" xr:uid="{00000000-0002-0000-0700-000001000000}">
      <formula1>$A$11:$A$52</formula1>
    </dataValidation>
    <dataValidation type="list" allowBlank="1" showInputMessage="1" showErrorMessage="1" sqref="A56:A58 A63:A66 A141:A143 A101 A70:A72 A84:A86 A162 A148:A150 A155:A157 A77:A79 A91:A94 A98:A99 A108 A134:A136 A130" xr:uid="{00000000-0002-0000-0700-000002000000}">
      <formula1>$A$11:$A$35</formula1>
    </dataValidation>
    <dataValidation type="list" allowBlank="1" showInputMessage="1" showErrorMessage="1" sqref="A87 A73 A80 A59" xr:uid="{00000000-0002-0000-0700-000003000000}">
      <formula1>#REF!</formula1>
    </dataValidation>
  </dataValidations>
  <printOptions horizontalCentered="1"/>
  <pageMargins left="0.23622047244094491" right="0.23622047244094491" top="0.31496062992125984" bottom="0.31496062992125984" header="0.31496062992125984" footer="0.11811023622047245"/>
  <pageSetup paperSize="9" scale="79" fitToHeight="0" orientation="portrait" r:id="rId1"/>
  <headerFooter>
    <oddFooter>Página &amp;P de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79998168889431442"/>
    <pageSetUpPr fitToPage="1"/>
  </sheetPr>
  <dimension ref="A1:N36"/>
  <sheetViews>
    <sheetView view="pageBreakPreview" topLeftCell="A15" zoomScale="130" zoomScaleNormal="100" zoomScaleSheetLayoutView="130" workbookViewId="0">
      <selection activeCell="D22" sqref="D22"/>
    </sheetView>
  </sheetViews>
  <sheetFormatPr defaultColWidth="8.85546875" defaultRowHeight="15" x14ac:dyDescent="0.25"/>
  <cols>
    <col min="1" max="1" width="11.42578125" customWidth="1"/>
    <col min="2" max="2" width="12.42578125" customWidth="1"/>
    <col min="3" max="3" width="11.28515625" customWidth="1"/>
    <col min="4" max="4" width="67.5703125" customWidth="1"/>
    <col min="5" max="5" width="12.140625" customWidth="1"/>
    <col min="6" max="6" width="12.42578125" customWidth="1"/>
    <col min="7" max="8" width="13.28515625" customWidth="1"/>
    <col min="9" max="10" width="13.28515625" hidden="1" customWidth="1"/>
    <col min="11" max="11" width="13.85546875" style="325" customWidth="1"/>
    <col min="12" max="14" width="13.85546875" customWidth="1"/>
  </cols>
  <sheetData>
    <row r="1" spans="1:14" x14ac:dyDescent="0.25">
      <c r="A1" s="24"/>
      <c r="B1" s="327"/>
      <c r="C1" s="32"/>
      <c r="D1" s="794" t="str">
        <f>'ORÇAMENTO_N DES'!D2</f>
        <v>GOVERNO DO ESTADO DE MATO GROSSO DO SUL</v>
      </c>
      <c r="E1" s="795"/>
      <c r="F1" s="795"/>
      <c r="G1" s="795"/>
      <c r="H1" s="795"/>
      <c r="I1" s="795"/>
      <c r="J1" s="796"/>
    </row>
    <row r="2" spans="1:14" ht="15.75" x14ac:dyDescent="0.25">
      <c r="A2" s="25"/>
      <c r="B2" s="2"/>
      <c r="C2" s="33"/>
      <c r="D2" s="797" t="str">
        <f>'ORÇAMENTO_N DES'!D3</f>
        <v>PREFEITURA MUNICIPAL DE RIBAS DO RIO PARDO</v>
      </c>
      <c r="E2" s="798"/>
      <c r="F2" s="798"/>
      <c r="G2" s="798"/>
      <c r="H2" s="798"/>
      <c r="I2" s="798"/>
      <c r="J2" s="799"/>
    </row>
    <row r="3" spans="1:14" x14ac:dyDescent="0.25">
      <c r="A3" s="26"/>
      <c r="B3" s="328"/>
      <c r="C3" s="23"/>
      <c r="D3" s="800" t="str">
        <f>'ORÇAMENTO_N DES'!D4</f>
        <v>SECRETARIA DE OBRAS</v>
      </c>
      <c r="E3" s="801"/>
      <c r="F3" s="801"/>
      <c r="G3" s="801"/>
      <c r="H3" s="801"/>
      <c r="I3" s="801"/>
      <c r="J3" s="802"/>
    </row>
    <row r="4" spans="1:14" ht="20.25" x14ac:dyDescent="0.25">
      <c r="A4" s="803" t="s">
        <v>37</v>
      </c>
      <c r="B4" s="804"/>
      <c r="C4" s="804"/>
      <c r="D4" s="804"/>
      <c r="E4" s="804"/>
      <c r="F4" s="804"/>
      <c r="G4" s="804"/>
      <c r="H4" s="804"/>
      <c r="I4" s="804"/>
      <c r="J4" s="805"/>
    </row>
    <row r="5" spans="1:14" x14ac:dyDescent="0.25">
      <c r="A5" s="135" t="s">
        <v>171</v>
      </c>
      <c r="B5" s="529" t="str">
        <f>'ORÇAMENTO_N DES'!C6</f>
        <v>CONSTRUÇÃO DE PONTOS DE ÔNIBUS</v>
      </c>
      <c r="C5" s="134"/>
      <c r="D5" s="134"/>
      <c r="E5" s="784" t="s">
        <v>45</v>
      </c>
      <c r="F5" s="784"/>
      <c r="G5" s="784"/>
      <c r="H5" s="784"/>
      <c r="I5" s="784"/>
      <c r="J5" s="785"/>
    </row>
    <row r="6" spans="1:14" x14ac:dyDescent="0.25">
      <c r="A6" s="135" t="s">
        <v>2</v>
      </c>
      <c r="B6" s="529" t="str">
        <f>'ORÇAMENTO_N DES'!C7</f>
        <v>RIBAS DO RIO PARDO - MS</v>
      </c>
      <c r="C6" s="134"/>
      <c r="D6" s="134"/>
      <c r="E6" s="786" t="str">
        <f>'ORÇAMENTO_N DES'!M7</f>
        <v>_________________________________
FÁBIO MARQUES RIBEIRO
CREA - 15.276 D</v>
      </c>
      <c r="F6" s="786"/>
      <c r="G6" s="786"/>
      <c r="H6" s="786"/>
      <c r="I6" s="786"/>
      <c r="J6" s="787"/>
    </row>
    <row r="7" spans="1:14" x14ac:dyDescent="0.25">
      <c r="A7" s="135" t="s">
        <v>3</v>
      </c>
      <c r="B7" s="529" t="str">
        <f>'ORÇAMENTO_N DES'!C8</f>
        <v>RIBAS DO RIO PARDO</v>
      </c>
      <c r="C7" s="134"/>
      <c r="D7" s="134"/>
      <c r="E7" s="786"/>
      <c r="F7" s="786"/>
      <c r="G7" s="786"/>
      <c r="H7" s="786"/>
      <c r="I7" s="786"/>
      <c r="J7" s="787"/>
    </row>
    <row r="8" spans="1:14" x14ac:dyDescent="0.25">
      <c r="A8" s="136" t="s">
        <v>66</v>
      </c>
      <c r="B8" s="530" t="str">
        <f>'ORÇAMENTO_N DES'!C11</f>
        <v>AGESUL(JUNHO/2024) SINAPI (JUNHO/2024 SBC (JUNHO/2024)</v>
      </c>
      <c r="C8" s="134"/>
      <c r="D8" s="134"/>
      <c r="E8" s="788"/>
      <c r="F8" s="788"/>
      <c r="G8" s="788"/>
      <c r="H8" s="788"/>
      <c r="I8" s="788"/>
      <c r="J8" s="789"/>
    </row>
    <row r="9" spans="1:14" s="325" customFormat="1" x14ac:dyDescent="0.25">
      <c r="A9" s="793"/>
      <c r="B9" s="793"/>
      <c r="C9" s="793"/>
      <c r="D9" s="793"/>
      <c r="E9" s="793"/>
      <c r="F9" s="793"/>
      <c r="G9" s="793"/>
      <c r="H9" s="793"/>
      <c r="I9" s="793"/>
      <c r="J9" s="793"/>
      <c r="L9"/>
      <c r="M9"/>
      <c r="N9"/>
    </row>
    <row r="10" spans="1:14" x14ac:dyDescent="0.25">
      <c r="A10" s="6"/>
      <c r="J10" s="33"/>
    </row>
    <row r="11" spans="1:14" x14ac:dyDescent="0.25">
      <c r="A11" s="399" t="s">
        <v>830</v>
      </c>
      <c r="B11" s="782" t="s">
        <v>702</v>
      </c>
      <c r="C11" s="782" t="s">
        <v>38</v>
      </c>
      <c r="D11" s="790" t="s">
        <v>814</v>
      </c>
      <c r="E11" s="397" t="s">
        <v>703</v>
      </c>
      <c r="F11" s="399" t="s">
        <v>113</v>
      </c>
      <c r="G11" s="323" t="s">
        <v>704</v>
      </c>
      <c r="H11" s="324">
        <f>SUM(H14:H28)</f>
        <v>1519.6600000000003</v>
      </c>
      <c r="I11" s="323" t="s">
        <v>705</v>
      </c>
      <c r="J11" s="324">
        <f>SUM(J14:J28)</f>
        <v>1468.9500000000003</v>
      </c>
    </row>
    <row r="12" spans="1:14" x14ac:dyDescent="0.25">
      <c r="A12" s="782" t="s">
        <v>5</v>
      </c>
      <c r="B12" s="782"/>
      <c r="C12" s="782"/>
      <c r="D12" s="791"/>
      <c r="E12" s="781" t="s">
        <v>39</v>
      </c>
      <c r="F12" s="781" t="s">
        <v>40</v>
      </c>
      <c r="G12" s="555" t="s">
        <v>891</v>
      </c>
      <c r="H12" s="555"/>
      <c r="I12" s="783" t="s">
        <v>655</v>
      </c>
      <c r="J12" s="783"/>
    </row>
    <row r="13" spans="1:14" ht="25.5" x14ac:dyDescent="0.25">
      <c r="A13" s="782"/>
      <c r="B13" s="782"/>
      <c r="C13" s="782"/>
      <c r="D13" s="792"/>
      <c r="E13" s="781"/>
      <c r="F13" s="781"/>
      <c r="G13" s="398" t="s">
        <v>41</v>
      </c>
      <c r="H13" s="398" t="s">
        <v>42</v>
      </c>
      <c r="I13" s="398" t="s">
        <v>41</v>
      </c>
      <c r="J13" s="398" t="s">
        <v>42</v>
      </c>
    </row>
    <row r="14" spans="1:14" x14ac:dyDescent="0.25">
      <c r="A14" s="264">
        <v>1</v>
      </c>
      <c r="B14" s="144" t="s">
        <v>54</v>
      </c>
      <c r="C14" s="264">
        <v>88262</v>
      </c>
      <c r="D14" s="267" t="s">
        <v>975</v>
      </c>
      <c r="E14" s="554" t="s">
        <v>968</v>
      </c>
      <c r="F14" s="263">
        <v>8</v>
      </c>
      <c r="G14" s="480">
        <v>25.69</v>
      </c>
      <c r="H14" s="326">
        <f t="shared" ref="H14:H28" si="0">TRUNC(F14*G14,2)</f>
        <v>205.52</v>
      </c>
      <c r="I14" s="300" t="s">
        <v>923</v>
      </c>
      <c r="J14" s="326">
        <f t="shared" ref="J14:J28" si="1">TRUNC(F14*I14,2)</f>
        <v>175.28</v>
      </c>
    </row>
    <row r="15" spans="1:14" x14ac:dyDescent="0.25">
      <c r="A15" s="264">
        <v>2</v>
      </c>
      <c r="B15" s="144" t="s">
        <v>54</v>
      </c>
      <c r="C15" s="264">
        <v>88267</v>
      </c>
      <c r="D15" s="267" t="s">
        <v>976</v>
      </c>
      <c r="E15" s="554" t="s">
        <v>968</v>
      </c>
      <c r="F15" s="263">
        <v>8</v>
      </c>
      <c r="G15" s="480">
        <v>25.28</v>
      </c>
      <c r="H15" s="326">
        <f t="shared" si="0"/>
        <v>202.24</v>
      </c>
      <c r="I15" s="300" t="s">
        <v>924</v>
      </c>
      <c r="J15" s="326">
        <f t="shared" si="1"/>
        <v>172.4</v>
      </c>
    </row>
    <row r="16" spans="1:14" x14ac:dyDescent="0.25">
      <c r="A16" s="264">
        <v>3</v>
      </c>
      <c r="B16" s="144" t="s">
        <v>54</v>
      </c>
      <c r="C16" s="264">
        <v>88309</v>
      </c>
      <c r="D16" s="267" t="s">
        <v>977</v>
      </c>
      <c r="E16" s="554" t="s">
        <v>968</v>
      </c>
      <c r="F16" s="263">
        <v>8</v>
      </c>
      <c r="G16" s="480">
        <v>26.04</v>
      </c>
      <c r="H16" s="326">
        <f t="shared" si="0"/>
        <v>208.32</v>
      </c>
      <c r="I16" s="300" t="s">
        <v>925</v>
      </c>
      <c r="J16" s="326">
        <f t="shared" si="1"/>
        <v>177.28</v>
      </c>
    </row>
    <row r="17" spans="1:10" x14ac:dyDescent="0.25">
      <c r="A17" s="264">
        <v>4</v>
      </c>
      <c r="B17" s="144" t="s">
        <v>54</v>
      </c>
      <c r="C17" s="264">
        <v>88316</v>
      </c>
      <c r="D17" s="267" t="s">
        <v>978</v>
      </c>
      <c r="E17" s="554" t="s">
        <v>968</v>
      </c>
      <c r="F17" s="263">
        <v>8.1199999999999992</v>
      </c>
      <c r="G17" s="480">
        <v>20.96</v>
      </c>
      <c r="H17" s="326">
        <f t="shared" si="0"/>
        <v>170.19</v>
      </c>
      <c r="I17" s="300" t="s">
        <v>926</v>
      </c>
      <c r="J17" s="326">
        <f t="shared" si="1"/>
        <v>145.83000000000001</v>
      </c>
    </row>
    <row r="18" spans="1:10" x14ac:dyDescent="0.25">
      <c r="A18" s="264">
        <v>5</v>
      </c>
      <c r="B18" s="144" t="s">
        <v>54</v>
      </c>
      <c r="C18" s="264">
        <v>88252</v>
      </c>
      <c r="D18" s="267" t="s">
        <v>979</v>
      </c>
      <c r="E18" s="554" t="s">
        <v>968</v>
      </c>
      <c r="F18" s="263">
        <v>4</v>
      </c>
      <c r="G18" s="480">
        <v>20.8</v>
      </c>
      <c r="H18" s="326">
        <f t="shared" si="0"/>
        <v>83.2</v>
      </c>
      <c r="I18" s="300" t="s">
        <v>927</v>
      </c>
      <c r="J18" s="326">
        <f t="shared" si="1"/>
        <v>77.16</v>
      </c>
    </row>
    <row r="19" spans="1:10" ht="25.5" x14ac:dyDescent="0.25">
      <c r="A19" s="264">
        <v>6</v>
      </c>
      <c r="B19" s="144" t="s">
        <v>54</v>
      </c>
      <c r="C19" s="264">
        <v>370</v>
      </c>
      <c r="D19" s="267" t="s">
        <v>980</v>
      </c>
      <c r="E19" s="554" t="s">
        <v>981</v>
      </c>
      <c r="F19" s="263">
        <v>1.89E-2</v>
      </c>
      <c r="G19" s="480">
        <v>93</v>
      </c>
      <c r="H19" s="326">
        <f t="shared" si="0"/>
        <v>1.75</v>
      </c>
      <c r="I19" s="300" t="s">
        <v>928</v>
      </c>
      <c r="J19" s="326">
        <f t="shared" si="1"/>
        <v>1.47</v>
      </c>
    </row>
    <row r="20" spans="1:10" ht="25.5" x14ac:dyDescent="0.25">
      <c r="A20" s="264">
        <v>7</v>
      </c>
      <c r="B20" s="144" t="s">
        <v>54</v>
      </c>
      <c r="C20" s="264">
        <v>14439</v>
      </c>
      <c r="D20" s="267" t="s">
        <v>982</v>
      </c>
      <c r="E20" s="554" t="s">
        <v>983</v>
      </c>
      <c r="F20" s="263">
        <v>25</v>
      </c>
      <c r="G20" s="480">
        <v>5.96</v>
      </c>
      <c r="H20" s="326">
        <f t="shared" si="0"/>
        <v>149</v>
      </c>
      <c r="I20" s="300" t="s">
        <v>929</v>
      </c>
      <c r="J20" s="326">
        <f t="shared" si="1"/>
        <v>132.5</v>
      </c>
    </row>
    <row r="21" spans="1:10" x14ac:dyDescent="0.25">
      <c r="A21" s="264">
        <v>8</v>
      </c>
      <c r="B21" s="144" t="s">
        <v>54</v>
      </c>
      <c r="C21" s="264">
        <v>20247</v>
      </c>
      <c r="D21" s="267" t="s">
        <v>984</v>
      </c>
      <c r="E21" s="554" t="s">
        <v>985</v>
      </c>
      <c r="F21" s="263">
        <v>1</v>
      </c>
      <c r="G21" s="480">
        <v>21.39</v>
      </c>
      <c r="H21" s="326">
        <f t="shared" si="0"/>
        <v>21.39</v>
      </c>
      <c r="I21" s="300" t="s">
        <v>930</v>
      </c>
      <c r="J21" s="326">
        <f t="shared" si="1"/>
        <v>28.16</v>
      </c>
    </row>
    <row r="22" spans="1:10" ht="38.25" x14ac:dyDescent="0.25">
      <c r="A22" s="264">
        <v>9</v>
      </c>
      <c r="B22" s="144" t="s">
        <v>54</v>
      </c>
      <c r="C22" s="264">
        <v>6189</v>
      </c>
      <c r="D22" s="267" t="s">
        <v>986</v>
      </c>
      <c r="E22" s="554" t="s">
        <v>983</v>
      </c>
      <c r="F22" s="263">
        <v>8</v>
      </c>
      <c r="G22" s="480">
        <v>30.63</v>
      </c>
      <c r="H22" s="326">
        <f t="shared" si="0"/>
        <v>245.04</v>
      </c>
      <c r="I22" s="300" t="s">
        <v>931</v>
      </c>
      <c r="J22" s="326">
        <f t="shared" si="1"/>
        <v>244.16</v>
      </c>
    </row>
    <row r="23" spans="1:10" x14ac:dyDescent="0.25">
      <c r="A23" s="264">
        <v>10</v>
      </c>
      <c r="B23" s="144" t="s">
        <v>54</v>
      </c>
      <c r="C23" s="264">
        <v>7258</v>
      </c>
      <c r="D23" s="267" t="s">
        <v>987</v>
      </c>
      <c r="E23" s="554" t="s">
        <v>988</v>
      </c>
      <c r="F23" s="263">
        <v>30</v>
      </c>
      <c r="G23" s="480">
        <v>0.73</v>
      </c>
      <c r="H23" s="326">
        <f t="shared" si="0"/>
        <v>21.9</v>
      </c>
      <c r="I23" s="300" t="s">
        <v>932</v>
      </c>
      <c r="J23" s="326">
        <f t="shared" si="1"/>
        <v>23.4</v>
      </c>
    </row>
    <row r="24" spans="1:10" ht="25.5" x14ac:dyDescent="0.25">
      <c r="A24" s="264">
        <v>11</v>
      </c>
      <c r="B24" s="144" t="s">
        <v>54</v>
      </c>
      <c r="C24" s="264">
        <v>10421</v>
      </c>
      <c r="D24" s="267" t="s">
        <v>989</v>
      </c>
      <c r="E24" s="554" t="s">
        <v>988</v>
      </c>
      <c r="F24" s="263">
        <v>2.3199999999999998E-2</v>
      </c>
      <c r="G24" s="480">
        <v>206.58</v>
      </c>
      <c r="H24" s="326">
        <f t="shared" si="0"/>
        <v>4.79</v>
      </c>
      <c r="I24" s="300" t="s">
        <v>933</v>
      </c>
      <c r="J24" s="326">
        <f t="shared" si="1"/>
        <v>4.55</v>
      </c>
    </row>
    <row r="25" spans="1:10" x14ac:dyDescent="0.25">
      <c r="A25" s="264">
        <v>12</v>
      </c>
      <c r="B25" s="144" t="s">
        <v>54</v>
      </c>
      <c r="C25" s="264">
        <v>34636</v>
      </c>
      <c r="D25" s="267" t="s">
        <v>990</v>
      </c>
      <c r="E25" s="554" t="s">
        <v>988</v>
      </c>
      <c r="F25" s="263">
        <v>2.3199999999999998E-2</v>
      </c>
      <c r="G25" s="480">
        <v>429.9</v>
      </c>
      <c r="H25" s="326">
        <f t="shared" si="0"/>
        <v>9.9700000000000006</v>
      </c>
      <c r="I25" s="300" t="s">
        <v>934</v>
      </c>
      <c r="J25" s="326">
        <f t="shared" si="1"/>
        <v>10.67</v>
      </c>
    </row>
    <row r="26" spans="1:10" ht="38.25" x14ac:dyDescent="0.25">
      <c r="A26" s="264">
        <v>13</v>
      </c>
      <c r="B26" s="144" t="s">
        <v>54</v>
      </c>
      <c r="C26" s="264">
        <v>1030</v>
      </c>
      <c r="D26" s="267" t="s">
        <v>991</v>
      </c>
      <c r="E26" s="554" t="s">
        <v>988</v>
      </c>
      <c r="F26" s="263">
        <v>2.3199999999999998E-2</v>
      </c>
      <c r="G26" s="480">
        <v>49.9</v>
      </c>
      <c r="H26" s="326">
        <f t="shared" si="0"/>
        <v>1.1499999999999999</v>
      </c>
      <c r="I26" s="300" t="s">
        <v>935</v>
      </c>
      <c r="J26" s="326">
        <f t="shared" si="1"/>
        <v>1.24</v>
      </c>
    </row>
    <row r="27" spans="1:10" x14ac:dyDescent="0.25">
      <c r="A27" s="264">
        <v>14</v>
      </c>
      <c r="B27" s="144" t="s">
        <v>54</v>
      </c>
      <c r="C27" s="264">
        <v>9836</v>
      </c>
      <c r="D27" s="267" t="s">
        <v>992</v>
      </c>
      <c r="E27" s="554" t="s">
        <v>983</v>
      </c>
      <c r="F27" s="263">
        <v>5</v>
      </c>
      <c r="G27" s="480">
        <v>14.68</v>
      </c>
      <c r="H27" s="326">
        <f t="shared" si="0"/>
        <v>73.400000000000006</v>
      </c>
      <c r="I27" s="326" t="s">
        <v>936</v>
      </c>
      <c r="J27" s="326">
        <f t="shared" si="1"/>
        <v>99.95</v>
      </c>
    </row>
    <row r="28" spans="1:10" x14ac:dyDescent="0.25">
      <c r="A28" s="264">
        <v>15</v>
      </c>
      <c r="B28" s="144" t="s">
        <v>54</v>
      </c>
      <c r="C28" s="264">
        <v>9868</v>
      </c>
      <c r="D28" s="267" t="s">
        <v>993</v>
      </c>
      <c r="E28" s="554" t="s">
        <v>983</v>
      </c>
      <c r="F28" s="263">
        <v>30</v>
      </c>
      <c r="G28" s="480">
        <v>4.0599999999999996</v>
      </c>
      <c r="H28" s="326">
        <f t="shared" si="0"/>
        <v>121.8</v>
      </c>
      <c r="I28" s="326" t="s">
        <v>937</v>
      </c>
      <c r="J28" s="326">
        <f t="shared" si="1"/>
        <v>174.9</v>
      </c>
    </row>
    <row r="29" spans="1:10" x14ac:dyDescent="0.25">
      <c r="A29" s="6"/>
      <c r="J29" s="33"/>
    </row>
    <row r="30" spans="1:10" x14ac:dyDescent="0.25">
      <c r="A30" s="399" t="s">
        <v>872</v>
      </c>
      <c r="B30" s="782" t="s">
        <v>702</v>
      </c>
      <c r="C30" s="782" t="s">
        <v>38</v>
      </c>
      <c r="D30" s="790" t="s">
        <v>874</v>
      </c>
      <c r="E30" s="397" t="s">
        <v>703</v>
      </c>
      <c r="F30" s="399" t="s">
        <v>113</v>
      </c>
      <c r="G30" s="323" t="s">
        <v>704</v>
      </c>
      <c r="H30" s="324">
        <f>SUM(H33:H36)</f>
        <v>366.5</v>
      </c>
      <c r="I30" s="323" t="s">
        <v>705</v>
      </c>
      <c r="J30" s="324">
        <f>SUM(J33:J36)</f>
        <v>342.99</v>
      </c>
    </row>
    <row r="31" spans="1:10" x14ac:dyDescent="0.25">
      <c r="A31" s="782" t="s">
        <v>5</v>
      </c>
      <c r="B31" s="782"/>
      <c r="C31" s="782"/>
      <c r="D31" s="791"/>
      <c r="E31" s="781" t="s">
        <v>39</v>
      </c>
      <c r="F31" s="781" t="s">
        <v>40</v>
      </c>
      <c r="G31" s="555" t="s">
        <v>891</v>
      </c>
      <c r="H31" s="555"/>
      <c r="I31" s="783" t="s">
        <v>655</v>
      </c>
      <c r="J31" s="783"/>
    </row>
    <row r="32" spans="1:10" ht="25.5" x14ac:dyDescent="0.25">
      <c r="A32" s="782"/>
      <c r="B32" s="782"/>
      <c r="C32" s="782"/>
      <c r="D32" s="792"/>
      <c r="E32" s="781"/>
      <c r="F32" s="781"/>
      <c r="G32" s="398" t="s">
        <v>41</v>
      </c>
      <c r="H32" s="398" t="s">
        <v>42</v>
      </c>
      <c r="I32" s="398" t="s">
        <v>41</v>
      </c>
      <c r="J32" s="398" t="s">
        <v>42</v>
      </c>
    </row>
    <row r="33" spans="1:10" x14ac:dyDescent="0.25">
      <c r="A33" s="264">
        <v>1</v>
      </c>
      <c r="B33" s="144" t="s">
        <v>54</v>
      </c>
      <c r="C33" s="264">
        <v>88278</v>
      </c>
      <c r="D33" s="267" t="s">
        <v>994</v>
      </c>
      <c r="E33" s="554" t="s">
        <v>968</v>
      </c>
      <c r="F33" s="263">
        <v>2.5</v>
      </c>
      <c r="G33" s="480">
        <v>27.21</v>
      </c>
      <c r="H33" s="326">
        <f t="shared" ref="H33:H36" si="2">TRUNC(F33*G33,2)</f>
        <v>68.02</v>
      </c>
      <c r="I33" s="300" t="s">
        <v>938</v>
      </c>
      <c r="J33" s="326">
        <f t="shared" ref="J33:J36" si="3">TRUNC(F33*I33,2)</f>
        <v>58.07</v>
      </c>
    </row>
    <row r="34" spans="1:10" x14ac:dyDescent="0.25">
      <c r="A34" s="264">
        <v>2</v>
      </c>
      <c r="B34" s="144" t="s">
        <v>54</v>
      </c>
      <c r="C34" s="264">
        <v>88240</v>
      </c>
      <c r="D34" s="267" t="s">
        <v>995</v>
      </c>
      <c r="E34" s="554" t="s">
        <v>968</v>
      </c>
      <c r="F34" s="263">
        <v>2.5</v>
      </c>
      <c r="G34" s="480">
        <v>20.28</v>
      </c>
      <c r="H34" s="326">
        <f t="shared" si="2"/>
        <v>50.7</v>
      </c>
      <c r="I34" s="300" t="s">
        <v>939</v>
      </c>
      <c r="J34" s="326">
        <f t="shared" si="3"/>
        <v>48.87</v>
      </c>
    </row>
    <row r="35" spans="1:10" x14ac:dyDescent="0.25">
      <c r="A35" s="264">
        <v>4</v>
      </c>
      <c r="B35" s="144" t="s">
        <v>54</v>
      </c>
      <c r="C35" s="264">
        <v>1332</v>
      </c>
      <c r="D35" s="267" t="s">
        <v>996</v>
      </c>
      <c r="E35" s="554" t="s">
        <v>985</v>
      </c>
      <c r="F35" s="263">
        <f>11.78/2</f>
        <v>5.89</v>
      </c>
      <c r="G35" s="480">
        <v>8.8800000000000008</v>
      </c>
      <c r="H35" s="326">
        <f t="shared" si="2"/>
        <v>52.3</v>
      </c>
      <c r="I35" s="300" t="s">
        <v>940</v>
      </c>
      <c r="J35" s="326">
        <f t="shared" si="3"/>
        <v>60.13</v>
      </c>
    </row>
    <row r="36" spans="1:10" ht="25.5" x14ac:dyDescent="0.25">
      <c r="A36" s="264">
        <v>5</v>
      </c>
      <c r="B36" s="144" t="s">
        <v>54</v>
      </c>
      <c r="C36" s="264">
        <v>11975</v>
      </c>
      <c r="D36" s="267" t="s">
        <v>997</v>
      </c>
      <c r="E36" s="554" t="s">
        <v>988</v>
      </c>
      <c r="F36" s="263">
        <v>6</v>
      </c>
      <c r="G36" s="480">
        <v>32.58</v>
      </c>
      <c r="H36" s="326">
        <f t="shared" si="2"/>
        <v>195.48</v>
      </c>
      <c r="I36" s="300" t="s">
        <v>941</v>
      </c>
      <c r="J36" s="326">
        <f t="shared" si="3"/>
        <v>175.92</v>
      </c>
    </row>
  </sheetData>
  <autoFilter ref="B10:B36" xr:uid="{392C4455-243B-4EEF-B2C0-016167DBD1FD}"/>
  <mergeCells count="21">
    <mergeCell ref="D1:J1"/>
    <mergeCell ref="D2:J2"/>
    <mergeCell ref="D3:J3"/>
    <mergeCell ref="A4:J4"/>
    <mergeCell ref="A12:A13"/>
    <mergeCell ref="E12:E13"/>
    <mergeCell ref="F12:F13"/>
    <mergeCell ref="F31:F32"/>
    <mergeCell ref="B11:B13"/>
    <mergeCell ref="C11:C13"/>
    <mergeCell ref="I31:J31"/>
    <mergeCell ref="E5:J5"/>
    <mergeCell ref="E6:J8"/>
    <mergeCell ref="D11:D13"/>
    <mergeCell ref="I12:J12"/>
    <mergeCell ref="A9:J9"/>
    <mergeCell ref="B30:B32"/>
    <mergeCell ref="C30:C32"/>
    <mergeCell ref="D30:D32"/>
    <mergeCell ref="A31:A32"/>
    <mergeCell ref="E31:E32"/>
  </mergeCells>
  <dataValidations disablePrompts="1" count="2">
    <dataValidation type="list" allowBlank="1" showInputMessage="1" showErrorMessage="1" sqref="B14:B28 B33:B36" xr:uid="{00000000-0002-0000-0800-000001000000}">
      <formula1>"SINAPI,AGESUL,SBC,COTAÇÃO"</formula1>
    </dataValidation>
    <dataValidation type="list" allowBlank="1" showInputMessage="1" showErrorMessage="1" sqref="F11 F30" xr:uid="{4F0EACE9-8E75-4ED7-90FC-D8D1D514454F}">
      <formula1>" UN,M3,M2,MCJ,TXKM,T,M3XKM"</formula1>
    </dataValidation>
  </dataValidations>
  <printOptions horizontalCentered="1"/>
  <pageMargins left="0.7" right="0.7" top="0.75" bottom="0.75" header="0.3" footer="0.3"/>
  <pageSetup paperSize="9" scale="56" fitToHeight="0" orientation="portrait" horizontalDpi="4294967292" verticalDpi="300" r:id="rId1"/>
  <headerFooter>
    <oddFooter>Página &amp;P de 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79998168889431442"/>
    <pageSetUpPr fitToPage="1"/>
  </sheetPr>
  <dimension ref="A1:F21"/>
  <sheetViews>
    <sheetView workbookViewId="0">
      <selection activeCell="B18" sqref="B18:C18"/>
    </sheetView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  <col min="6" max="6" width="15.140625" customWidth="1"/>
  </cols>
  <sheetData>
    <row r="1" spans="1:6" x14ac:dyDescent="0.25">
      <c r="A1" s="314"/>
      <c r="B1" s="364" t="str">
        <f>'ORÇAMENTO_N DES'!D2</f>
        <v>GOVERNO DO ESTADO DE MATO GROSSO DO SUL</v>
      </c>
      <c r="C1" s="303"/>
      <c r="D1" s="303"/>
      <c r="E1" s="304"/>
    </row>
    <row r="2" spans="1:6" ht="15.75" x14ac:dyDescent="0.25">
      <c r="A2" s="315"/>
      <c r="B2" s="305" t="str">
        <f>'ORÇAMENTO_N DES'!D3</f>
        <v>PREFEITURA MUNICIPAL DE RIBAS DO RIO PARDO</v>
      </c>
      <c r="C2" s="306"/>
      <c r="D2" s="306"/>
      <c r="E2" s="307"/>
    </row>
    <row r="3" spans="1:6" x14ac:dyDescent="0.25">
      <c r="A3" s="316"/>
      <c r="B3" s="364" t="str">
        <f>'ORÇAMENTO_N DES'!D4</f>
        <v>SECRETARIA DE OBRAS</v>
      </c>
      <c r="C3" s="303"/>
      <c r="D3" s="303"/>
      <c r="E3" s="304"/>
    </row>
    <row r="4" spans="1:6" ht="20.45" customHeight="1" x14ac:dyDescent="0.25">
      <c r="A4" s="594" t="s">
        <v>145</v>
      </c>
      <c r="B4" s="595"/>
      <c r="C4" s="595"/>
      <c r="D4" s="595"/>
      <c r="E4" s="775"/>
    </row>
    <row r="5" spans="1:6" ht="14.45" customHeight="1" x14ac:dyDescent="0.25">
      <c r="A5" s="317" t="s">
        <v>171</v>
      </c>
      <c r="B5" s="308" t="str">
        <f>'ORÇAMENTO_N DES'!C6</f>
        <v>CONSTRUÇÃO DE PONTOS DE ÔNIBUS</v>
      </c>
      <c r="C5" s="309"/>
      <c r="D5" s="810" t="s">
        <v>45</v>
      </c>
      <c r="E5" s="811"/>
    </row>
    <row r="6" spans="1:6" x14ac:dyDescent="0.25">
      <c r="A6" s="317" t="s">
        <v>2</v>
      </c>
      <c r="B6" s="308" t="str">
        <f>'ORÇAMENTO_N DES'!C7</f>
        <v>RIBAS DO RIO PARDO - MS</v>
      </c>
      <c r="C6" s="310"/>
      <c r="D6" s="311"/>
      <c r="E6" s="67"/>
      <c r="F6" s="35"/>
    </row>
    <row r="7" spans="1:6" ht="14.45" customHeight="1" x14ac:dyDescent="0.25">
      <c r="A7" s="317" t="s">
        <v>3</v>
      </c>
      <c r="B7" s="308" t="str">
        <f>'ORÇAMENTO_N DES'!C8</f>
        <v>RIBAS DO RIO PARDO</v>
      </c>
      <c r="C7" s="309"/>
      <c r="D7" s="635" t="str">
        <f>'ORÇAMENTO_N DES'!M7</f>
        <v>_________________________________
FÁBIO MARQUES RIBEIRO
CREA - 15.276 D</v>
      </c>
      <c r="E7" s="636"/>
    </row>
    <row r="8" spans="1:6" x14ac:dyDescent="0.25">
      <c r="A8" s="318" t="s">
        <v>66</v>
      </c>
      <c r="B8" s="38" t="str">
        <f>'ORÇAMENTO_N DES'!C11</f>
        <v>AGESUL(JUNHO/2024) SINAPI (JUNHO/2024 SBC (JUNHO/2024)</v>
      </c>
      <c r="C8" s="312"/>
      <c r="D8" s="637"/>
      <c r="E8" s="638"/>
    </row>
    <row r="9" spans="1:6" ht="20.25" customHeight="1" thickBot="1" x14ac:dyDescent="0.3">
      <c r="A9" s="404"/>
      <c r="B9" s="309"/>
      <c r="C9" s="309"/>
      <c r="D9" s="311"/>
      <c r="E9" s="405"/>
      <c r="F9" s="195"/>
    </row>
    <row r="10" spans="1:6" s="40" customFormat="1" ht="14.25" customHeight="1" x14ac:dyDescent="0.2">
      <c r="A10" s="406" t="s">
        <v>146</v>
      </c>
      <c r="B10" s="407" t="s">
        <v>147</v>
      </c>
      <c r="C10" s="407" t="s">
        <v>148</v>
      </c>
      <c r="D10" s="407" t="s">
        <v>149</v>
      </c>
      <c r="E10" s="408" t="s">
        <v>150</v>
      </c>
      <c r="F10" s="70"/>
    </row>
    <row r="11" spans="1:6" s="40" customFormat="1" ht="14.25" customHeight="1" x14ac:dyDescent="0.2">
      <c r="A11" s="409" t="s">
        <v>151</v>
      </c>
      <c r="B11" s="356" t="s">
        <v>815</v>
      </c>
      <c r="C11" s="356" t="s">
        <v>816</v>
      </c>
      <c r="D11" s="401" t="s">
        <v>818</v>
      </c>
      <c r="E11" s="410" t="s">
        <v>817</v>
      </c>
      <c r="F11" s="70"/>
    </row>
    <row r="12" spans="1:6" s="40" customFormat="1" ht="14.25" customHeight="1" x14ac:dyDescent="0.2">
      <c r="A12" s="411" t="s">
        <v>153</v>
      </c>
      <c r="B12" s="357" t="s">
        <v>819</v>
      </c>
      <c r="C12" s="357" t="s">
        <v>820</v>
      </c>
      <c r="D12" s="221"/>
      <c r="E12" s="412" t="s">
        <v>821</v>
      </c>
      <c r="F12" s="70"/>
    </row>
    <row r="13" spans="1:6" s="40" customFormat="1" ht="14.25" customHeight="1" x14ac:dyDescent="0.2">
      <c r="A13" s="411" t="s">
        <v>154</v>
      </c>
      <c r="B13" s="357" t="s">
        <v>822</v>
      </c>
      <c r="C13" s="357" t="s">
        <v>823</v>
      </c>
      <c r="D13" s="221" t="s">
        <v>824</v>
      </c>
      <c r="E13" s="412" t="s">
        <v>654</v>
      </c>
      <c r="F13" s="70"/>
    </row>
    <row r="14" spans="1:6" s="40" customFormat="1" ht="15" hidden="1" customHeight="1" x14ac:dyDescent="0.2">
      <c r="A14" s="413" t="s">
        <v>771</v>
      </c>
      <c r="B14" s="351"/>
      <c r="C14" s="351"/>
      <c r="D14" s="352"/>
      <c r="E14" s="414"/>
      <c r="F14" s="70"/>
    </row>
    <row r="15" spans="1:6" s="40" customFormat="1" ht="12.75" x14ac:dyDescent="0.2">
      <c r="A15" s="415" t="s">
        <v>38</v>
      </c>
      <c r="B15" s="73" t="s">
        <v>52</v>
      </c>
      <c r="C15" s="73" t="s">
        <v>39</v>
      </c>
      <c r="D15" s="73" t="s">
        <v>155</v>
      </c>
      <c r="E15" s="416" t="s">
        <v>156</v>
      </c>
      <c r="F15" s="70"/>
    </row>
    <row r="16" spans="1:6" s="40" customFormat="1" ht="42" x14ac:dyDescent="0.2">
      <c r="A16" s="417" t="s">
        <v>706</v>
      </c>
      <c r="B16" s="199" t="s">
        <v>825</v>
      </c>
      <c r="C16" s="76" t="s">
        <v>113</v>
      </c>
      <c r="D16" s="77">
        <v>45313</v>
      </c>
      <c r="E16" s="418">
        <f>IF(SUM(D18:E20)&lt;&gt;0,MEDIAN(D18:E20),"")</f>
        <v>68000</v>
      </c>
      <c r="F16" s="70"/>
    </row>
    <row r="17" spans="1:6" s="40" customFormat="1" ht="12.75" x14ac:dyDescent="0.2">
      <c r="A17" s="419" t="s">
        <v>159</v>
      </c>
      <c r="B17" s="822" t="s">
        <v>160</v>
      </c>
      <c r="C17" s="823"/>
      <c r="D17" s="820" t="s">
        <v>145</v>
      </c>
      <c r="E17" s="821"/>
      <c r="F17" s="70"/>
    </row>
    <row r="18" spans="1:6" s="40" customFormat="1" ht="12.75" x14ac:dyDescent="0.2">
      <c r="A18" s="411" t="s">
        <v>151</v>
      </c>
      <c r="B18" s="818" t="str">
        <f>VLOOKUP(A18,$A$11:$E$13,3,0)</f>
        <v>ORCITEC SERVIÇOS TÉCNICOS LTDA</v>
      </c>
      <c r="C18" s="819"/>
      <c r="D18" s="816">
        <v>68000</v>
      </c>
      <c r="E18" s="817"/>
      <c r="F18" s="70"/>
    </row>
    <row r="19" spans="1:6" s="40" customFormat="1" ht="12.75" x14ac:dyDescent="0.2">
      <c r="A19" s="411" t="s">
        <v>153</v>
      </c>
      <c r="B19" s="812" t="str">
        <f>VLOOKUP(A19,$A$11:$E$13,3,0)</f>
        <v>AD EMPREENDIMENTOS E ENG</v>
      </c>
      <c r="C19" s="813"/>
      <c r="D19" s="814">
        <v>74300</v>
      </c>
      <c r="E19" s="815"/>
      <c r="F19" s="70"/>
    </row>
    <row r="20" spans="1:6" s="40" customFormat="1" ht="13.5" thickBot="1" x14ac:dyDescent="0.25">
      <c r="A20" s="420" t="s">
        <v>154</v>
      </c>
      <c r="B20" s="808" t="str">
        <f>VLOOKUP(A20,$A$11:$E$13,3,0)</f>
        <v>SOUZA DOS SANTOS CONSTRUTORA</v>
      </c>
      <c r="C20" s="809"/>
      <c r="D20" s="806">
        <v>62000</v>
      </c>
      <c r="E20" s="807"/>
      <c r="F20" s="70"/>
    </row>
    <row r="21" spans="1:6" x14ac:dyDescent="0.25">
      <c r="F21" s="70"/>
    </row>
  </sheetData>
  <autoFilter ref="A1:A20" xr:uid="{00000000-0009-0000-0000-000009000000}"/>
  <dataConsolidate/>
  <mergeCells count="11">
    <mergeCell ref="D20:E20"/>
    <mergeCell ref="B20:C20"/>
    <mergeCell ref="A4:E4"/>
    <mergeCell ref="D5:E5"/>
    <mergeCell ref="D7:E8"/>
    <mergeCell ref="B19:C19"/>
    <mergeCell ref="D19:E19"/>
    <mergeCell ref="D18:E18"/>
    <mergeCell ref="B18:C18"/>
    <mergeCell ref="D17:E17"/>
    <mergeCell ref="B17:C17"/>
  </mergeCells>
  <phoneticPr fontId="2" type="noConversion"/>
  <dataValidations count="1">
    <dataValidation type="list" allowBlank="1" showInputMessage="1" showErrorMessage="1" sqref="A18:A20" xr:uid="{00000000-0002-0000-0900-000000000000}">
      <formula1>$A$11:$A$13</formula1>
    </dataValidation>
  </dataValidations>
  <printOptions horizontalCentered="1"/>
  <pageMargins left="0.7" right="0.7" top="0.75" bottom="0.75" header="0.3" footer="0.3"/>
  <pageSetup paperSize="9" scale="69" fitToHeight="0" orientation="portrait" r:id="rId1"/>
  <headerFooter>
    <oddFooter>Página &amp;P de &amp;N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9">
    <tabColor theme="4" tint="0.79998168889431442"/>
    <pageSetUpPr fitToPage="1"/>
  </sheetPr>
  <dimension ref="A1:AB55"/>
  <sheetViews>
    <sheetView view="pageBreakPreview" zoomScale="85" zoomScaleNormal="115" zoomScaleSheetLayoutView="85" workbookViewId="0">
      <selection activeCell="F17" sqref="F17"/>
    </sheetView>
  </sheetViews>
  <sheetFormatPr defaultRowHeight="15" x14ac:dyDescent="0.25"/>
  <cols>
    <col min="1" max="1" width="9.85546875" bestFit="1" customWidth="1"/>
    <col min="2" max="2" width="18.7109375" customWidth="1"/>
    <col min="3" max="3" width="15.140625" customWidth="1"/>
    <col min="4" max="4" width="9.42578125" bestFit="1" customWidth="1"/>
    <col min="5" max="5" width="16.5703125" bestFit="1" customWidth="1"/>
    <col min="6" max="6" width="15" bestFit="1" customWidth="1"/>
    <col min="7" max="7" width="9.140625" bestFit="1" customWidth="1"/>
    <col min="8" max="8" width="16" bestFit="1" customWidth="1"/>
    <col min="9" max="20" width="16" customWidth="1"/>
    <col min="21" max="21" width="15.5703125" customWidth="1"/>
    <col min="22" max="22" width="8.42578125" bestFit="1" customWidth="1"/>
    <col min="23" max="23" width="16" bestFit="1" customWidth="1"/>
    <col min="24" max="24" width="9.28515625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4.45" customHeight="1" x14ac:dyDescent="0.25">
      <c r="A1" s="19"/>
      <c r="B1" s="20"/>
      <c r="C1" s="592" t="str">
        <f>'ORÇAMENTO_N DES'!D2</f>
        <v>GOVERNO DO ESTADO DE MATO GROSSO DO SUL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</row>
    <row r="2" spans="1:28" ht="14.45" customHeight="1" x14ac:dyDescent="0.25">
      <c r="A2" s="6"/>
      <c r="B2" s="21"/>
      <c r="C2" s="593" t="str">
        <f>'ORÇAMENTO_N DES'!D3</f>
        <v>PREFEITURA MUNICIPAL DE RIBAS DO RIO PARDO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</row>
    <row r="3" spans="1:28" ht="14.45" customHeight="1" x14ac:dyDescent="0.25">
      <c r="A3" s="7"/>
      <c r="B3" s="22"/>
      <c r="C3" s="592" t="str">
        <f>'ORÇAMENTO_N DES'!D4</f>
        <v>SECRETARIA DE OBRAS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  <c r="V3" s="592"/>
      <c r="W3" s="592"/>
      <c r="X3" s="592"/>
    </row>
    <row r="4" spans="1:28" ht="20.45" customHeight="1" x14ac:dyDescent="0.25">
      <c r="A4" s="594" t="s">
        <v>885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775"/>
    </row>
    <row r="5" spans="1:28" ht="14.45" customHeight="1" x14ac:dyDescent="0.25">
      <c r="A5" s="31" t="str">
        <f>'ORÇAMENTO_N DES'!B6</f>
        <v>OBJETO:</v>
      </c>
      <c r="B5" s="891" t="str">
        <f>'ORÇAMENTO_N DES'!C6</f>
        <v>CONSTRUÇÃO DE PONTOS DE ÔNIBUS</v>
      </c>
      <c r="C5" s="892"/>
      <c r="D5" s="892"/>
      <c r="E5" s="892"/>
      <c r="F5" s="892"/>
      <c r="G5" s="892"/>
      <c r="H5" s="892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4"/>
      <c r="U5" s="205" t="s">
        <v>45</v>
      </c>
      <c r="V5" s="27"/>
      <c r="W5" s="27"/>
      <c r="X5" s="28"/>
    </row>
    <row r="6" spans="1:28" ht="14.45" customHeight="1" x14ac:dyDescent="0.25">
      <c r="A6" s="31" t="str">
        <f>'ORÇAMENTO_N DES'!B7</f>
        <v>MUNÍCIPIO:</v>
      </c>
      <c r="B6" s="891" t="str">
        <f>'ORÇAMENTO_N DES'!C7</f>
        <v>RIBAS DO RIO PARDO - MS</v>
      </c>
      <c r="C6" s="892"/>
      <c r="D6" s="892"/>
      <c r="E6" s="892"/>
      <c r="F6" s="892"/>
      <c r="G6" s="892"/>
      <c r="H6" s="892"/>
      <c r="I6" s="893"/>
      <c r="J6" s="893"/>
      <c r="K6" s="893"/>
      <c r="L6" s="893"/>
      <c r="M6" s="893"/>
      <c r="N6" s="893"/>
      <c r="O6" s="893"/>
      <c r="P6" s="893"/>
      <c r="Q6" s="893"/>
      <c r="R6" s="893"/>
      <c r="S6" s="893"/>
      <c r="T6" s="894"/>
      <c r="U6" s="34"/>
      <c r="V6" s="35"/>
      <c r="W6" s="35"/>
      <c r="X6" s="29"/>
    </row>
    <row r="7" spans="1:28" ht="14.45" customHeight="1" x14ac:dyDescent="0.25">
      <c r="A7" s="31" t="str">
        <f>'ORÇAMENTO_N DES'!B8</f>
        <v>LOCAL:</v>
      </c>
      <c r="B7" s="891" t="str">
        <f>'ORÇAMENTO_N DES'!C8</f>
        <v>RIBAS DO RIO PARDO</v>
      </c>
      <c r="C7" s="892"/>
      <c r="D7" s="892"/>
      <c r="E7" s="892"/>
      <c r="F7" s="892"/>
      <c r="G7" s="892"/>
      <c r="H7" s="892"/>
      <c r="I7" s="893"/>
      <c r="J7" s="893"/>
      <c r="K7" s="893"/>
      <c r="L7" s="893"/>
      <c r="M7" s="893"/>
      <c r="N7" s="893"/>
      <c r="O7" s="893"/>
      <c r="P7" s="893"/>
      <c r="Q7" s="893"/>
      <c r="R7" s="893"/>
      <c r="S7" s="893"/>
      <c r="T7" s="894"/>
      <c r="U7" s="605" t="str">
        <f>'ORÇAMENTO_N DES'!M7</f>
        <v>_________________________________
FÁBIO MARQUES RIBEIRO
CREA - 15.276 D</v>
      </c>
      <c r="V7" s="606"/>
      <c r="W7" s="606"/>
      <c r="X7" s="607"/>
    </row>
    <row r="8" spans="1:28" ht="14.45" customHeight="1" x14ac:dyDescent="0.25">
      <c r="A8" s="31" t="str">
        <f>'ORÇAMENTO_N DES'!B11</f>
        <v>SIST./REF.:</v>
      </c>
      <c r="B8" s="891" t="str">
        <f>'ORÇAMENTO_N DES'!C11</f>
        <v>AGESUL(JUNHO/2024) SINAPI (JUNHO/2024 SBC (JUNHO/2024)</v>
      </c>
      <c r="C8" s="892"/>
      <c r="D8" s="892"/>
      <c r="E8" s="892"/>
      <c r="F8" s="892"/>
      <c r="G8" s="892"/>
      <c r="H8" s="892"/>
      <c r="I8" s="893"/>
      <c r="J8" s="893"/>
      <c r="K8" s="893"/>
      <c r="L8" s="893"/>
      <c r="M8" s="893"/>
      <c r="N8" s="893"/>
      <c r="O8" s="893"/>
      <c r="P8" s="893"/>
      <c r="Q8" s="893"/>
      <c r="R8" s="893"/>
      <c r="S8" s="893"/>
      <c r="T8" s="894"/>
      <c r="U8" s="608"/>
      <c r="V8" s="609"/>
      <c r="W8" s="609"/>
      <c r="X8" s="610"/>
    </row>
    <row r="9" spans="1:28" ht="15" customHeight="1" x14ac:dyDescent="0.25">
      <c r="A9" s="834" t="s">
        <v>5</v>
      </c>
      <c r="B9" s="829" t="s">
        <v>6</v>
      </c>
      <c r="C9" s="830"/>
      <c r="D9" s="836" t="s">
        <v>0</v>
      </c>
      <c r="E9" s="838" t="s">
        <v>22</v>
      </c>
      <c r="F9" s="826" t="s">
        <v>7</v>
      </c>
      <c r="G9" s="827"/>
      <c r="H9" s="828"/>
      <c r="I9" s="826" t="s">
        <v>46</v>
      </c>
      <c r="J9" s="827"/>
      <c r="K9" s="828"/>
      <c r="L9" s="826" t="s">
        <v>47</v>
      </c>
      <c r="M9" s="827"/>
      <c r="N9" s="828"/>
      <c r="O9" s="826" t="s">
        <v>62</v>
      </c>
      <c r="P9" s="827"/>
      <c r="Q9" s="828"/>
      <c r="R9" s="826" t="s">
        <v>256</v>
      </c>
      <c r="S9" s="827"/>
      <c r="T9" s="828"/>
      <c r="U9" s="826" t="s">
        <v>257</v>
      </c>
      <c r="V9" s="827"/>
      <c r="W9" s="828"/>
      <c r="X9" s="145" t="s">
        <v>178</v>
      </c>
    </row>
    <row r="10" spans="1:28" x14ac:dyDescent="0.25">
      <c r="A10" s="835" t="s">
        <v>5</v>
      </c>
      <c r="B10" s="831"/>
      <c r="C10" s="832"/>
      <c r="D10" s="837"/>
      <c r="E10" s="839"/>
      <c r="F10" s="182" t="s">
        <v>23</v>
      </c>
      <c r="G10" s="182" t="s">
        <v>0</v>
      </c>
      <c r="H10" s="183" t="s">
        <v>33</v>
      </c>
      <c r="I10" s="182" t="s">
        <v>23</v>
      </c>
      <c r="J10" s="182" t="s">
        <v>0</v>
      </c>
      <c r="K10" s="183" t="s">
        <v>33</v>
      </c>
      <c r="L10" s="182" t="s">
        <v>23</v>
      </c>
      <c r="M10" s="182" t="s">
        <v>0</v>
      </c>
      <c r="N10" s="183" t="s">
        <v>33</v>
      </c>
      <c r="O10" s="182" t="s">
        <v>23</v>
      </c>
      <c r="P10" s="182" t="s">
        <v>0</v>
      </c>
      <c r="Q10" s="183" t="s">
        <v>33</v>
      </c>
      <c r="R10" s="182" t="s">
        <v>23</v>
      </c>
      <c r="S10" s="182" t="s">
        <v>0</v>
      </c>
      <c r="T10" s="183" t="s">
        <v>33</v>
      </c>
      <c r="U10" s="182" t="s">
        <v>23</v>
      </c>
      <c r="V10" s="182" t="s">
        <v>0</v>
      </c>
      <c r="W10" s="183" t="s">
        <v>33</v>
      </c>
      <c r="X10" s="184"/>
    </row>
    <row r="11" spans="1:28" x14ac:dyDescent="0.25">
      <c r="A11" s="142" t="s">
        <v>12</v>
      </c>
      <c r="B11" s="147" t="str">
        <f>VLOOKUP(A11,Tabela3[[ITEM]:[DESCRIÇÃO]],6,FALSE)</f>
        <v>SERVIÇOS PRELIMINARES</v>
      </c>
      <c r="C11" s="148"/>
      <c r="D11" s="149">
        <f t="shared" ref="D11:D19" si="0">E11/E$20</f>
        <v>0.11941830984438792</v>
      </c>
      <c r="E11" s="150">
        <f>VLOOKUP(A11,'ORÇAMENTO_N DES'!$B:$P,14,0)</f>
        <v>134058.96000000002</v>
      </c>
      <c r="F11" s="151">
        <f t="shared" ref="F11:F19" si="1">G11*E11</f>
        <v>22343.160000000007</v>
      </c>
      <c r="G11" s="152">
        <f>100/6/100</f>
        <v>0.16666666666666669</v>
      </c>
      <c r="H11" s="153">
        <f t="shared" ref="H11:H19" si="2">G11</f>
        <v>0.16666666666666669</v>
      </c>
      <c r="I11" s="151">
        <f>J11*E11</f>
        <v>22343.160000000007</v>
      </c>
      <c r="J11" s="152">
        <f t="shared" ref="J11:J19" si="3">100/6/100</f>
        <v>0.16666666666666669</v>
      </c>
      <c r="K11" s="153">
        <f>J11+G11</f>
        <v>0.33333333333333337</v>
      </c>
      <c r="L11" s="151">
        <f>M11*E11</f>
        <v>22343.160000000007</v>
      </c>
      <c r="M11" s="152">
        <f t="shared" ref="M11:M19" si="4">100/6/100</f>
        <v>0.16666666666666669</v>
      </c>
      <c r="N11" s="153">
        <f>M11+K11</f>
        <v>0.5</v>
      </c>
      <c r="O11" s="151">
        <f>P11*E11</f>
        <v>22343.160000000007</v>
      </c>
      <c r="P11" s="152">
        <f t="shared" ref="P11:P19" si="5">100/6/100</f>
        <v>0.16666666666666669</v>
      </c>
      <c r="Q11" s="153">
        <f>P11+N11</f>
        <v>0.66666666666666674</v>
      </c>
      <c r="R11" s="151">
        <f>S11*E11</f>
        <v>22343.160000000007</v>
      </c>
      <c r="S11" s="152">
        <f t="shared" ref="S11:S19" si="6">100/6/100</f>
        <v>0.16666666666666669</v>
      </c>
      <c r="T11" s="153">
        <f>S11+Q11</f>
        <v>0.83333333333333348</v>
      </c>
      <c r="U11" s="151">
        <f>V11*E11</f>
        <v>22343.160000000007</v>
      </c>
      <c r="V11" s="152">
        <f t="shared" ref="V11:V19" si="7">100/6/100</f>
        <v>0.16666666666666669</v>
      </c>
      <c r="W11" s="153">
        <f>V11+T11</f>
        <v>1.0000000000000002</v>
      </c>
      <c r="X11" s="154">
        <f>V11+S11+P11+M11+J11+G11</f>
        <v>1.0000000000000002</v>
      </c>
      <c r="Z11" s="1"/>
      <c r="AB11" s="1"/>
    </row>
    <row r="12" spans="1:28" x14ac:dyDescent="0.25">
      <c r="A12" s="142" t="s">
        <v>11</v>
      </c>
      <c r="B12" s="147" t="str">
        <f>VLOOKUP(A12,Tabela3[[ITEM]:[DESCRIÇÃO]],6,FALSE)</f>
        <v>ESTRUTURA DE CONCRETO ARMADO</v>
      </c>
      <c r="C12" s="148"/>
      <c r="D12" s="149">
        <f t="shared" si="0"/>
        <v>0.24357715182377881</v>
      </c>
      <c r="E12" s="150">
        <f>VLOOKUP(A12,'ORÇAMENTO_N DES'!$B:$P,14,0)</f>
        <v>273439.64000000007</v>
      </c>
      <c r="F12" s="151">
        <f t="shared" si="1"/>
        <v>45573.273333333353</v>
      </c>
      <c r="G12" s="152">
        <f t="shared" ref="G12:G19" si="8">100/6/100</f>
        <v>0.16666666666666669</v>
      </c>
      <c r="H12" s="153">
        <f t="shared" si="2"/>
        <v>0.16666666666666669</v>
      </c>
      <c r="I12" s="151">
        <f t="shared" ref="I12:I19" si="9">J12*E12</f>
        <v>45573.273333333353</v>
      </c>
      <c r="J12" s="152">
        <f t="shared" si="3"/>
        <v>0.16666666666666669</v>
      </c>
      <c r="K12" s="153">
        <f t="shared" ref="K12:K19" si="10">J12+G12</f>
        <v>0.33333333333333337</v>
      </c>
      <c r="L12" s="151">
        <f t="shared" ref="L12:L19" si="11">M12*E12</f>
        <v>45573.273333333353</v>
      </c>
      <c r="M12" s="152">
        <f t="shared" si="4"/>
        <v>0.16666666666666669</v>
      </c>
      <c r="N12" s="153">
        <f t="shared" ref="N12:N19" si="12">M12+K12</f>
        <v>0.5</v>
      </c>
      <c r="O12" s="151">
        <f t="shared" ref="O12:O19" si="13">P12*E12</f>
        <v>45573.273333333353</v>
      </c>
      <c r="P12" s="152">
        <f t="shared" si="5"/>
        <v>0.16666666666666669</v>
      </c>
      <c r="Q12" s="153">
        <f t="shared" ref="Q12:Q19" si="14">P12+N12</f>
        <v>0.66666666666666674</v>
      </c>
      <c r="R12" s="151">
        <f t="shared" ref="R12:R19" si="15">S12*E12</f>
        <v>45573.273333333353</v>
      </c>
      <c r="S12" s="152">
        <f t="shared" si="6"/>
        <v>0.16666666666666669</v>
      </c>
      <c r="T12" s="153">
        <f t="shared" ref="T12:T19" si="16">S12+Q12</f>
        <v>0.83333333333333348</v>
      </c>
      <c r="U12" s="151">
        <f t="shared" ref="U12:U19" si="17">V12*E12</f>
        <v>45573.273333333353</v>
      </c>
      <c r="V12" s="152">
        <f t="shared" si="7"/>
        <v>0.16666666666666669</v>
      </c>
      <c r="W12" s="153">
        <f t="shared" ref="W12:W19" si="18">V12+T12</f>
        <v>1.0000000000000002</v>
      </c>
      <c r="X12" s="154">
        <f t="shared" ref="X12:X19" si="19">V12+S12+P12+M12+J12+G12</f>
        <v>1.0000000000000002</v>
      </c>
      <c r="Z12" s="1"/>
      <c r="AB12" s="1"/>
    </row>
    <row r="13" spans="1:28" x14ac:dyDescent="0.25">
      <c r="A13" s="142" t="s">
        <v>18</v>
      </c>
      <c r="B13" s="147" t="str">
        <f>VLOOKUP(A13,Tabela3[[ITEM]:[DESCRIÇÃO]],6,FALSE)</f>
        <v>ESTRUTURA METÁLICA</v>
      </c>
      <c r="C13" s="155"/>
      <c r="D13" s="149">
        <f t="shared" si="0"/>
        <v>0.25319213738261165</v>
      </c>
      <c r="E13" s="150">
        <f>VLOOKUP(A13,'ORÇAMENTO_N DES'!$B:$P,14,0)</f>
        <v>284233.42</v>
      </c>
      <c r="F13" s="151">
        <f t="shared" si="1"/>
        <v>47372.236666666671</v>
      </c>
      <c r="G13" s="152">
        <f t="shared" si="8"/>
        <v>0.16666666666666669</v>
      </c>
      <c r="H13" s="153">
        <f t="shared" si="2"/>
        <v>0.16666666666666669</v>
      </c>
      <c r="I13" s="151">
        <f t="shared" si="9"/>
        <v>47372.236666666671</v>
      </c>
      <c r="J13" s="152">
        <f t="shared" si="3"/>
        <v>0.16666666666666669</v>
      </c>
      <c r="K13" s="153">
        <f t="shared" si="10"/>
        <v>0.33333333333333337</v>
      </c>
      <c r="L13" s="151">
        <f t="shared" si="11"/>
        <v>47372.236666666671</v>
      </c>
      <c r="M13" s="152">
        <f t="shared" si="4"/>
        <v>0.16666666666666669</v>
      </c>
      <c r="N13" s="153">
        <f t="shared" si="12"/>
        <v>0.5</v>
      </c>
      <c r="O13" s="151">
        <f t="shared" si="13"/>
        <v>47372.236666666671</v>
      </c>
      <c r="P13" s="152">
        <f t="shared" si="5"/>
        <v>0.16666666666666669</v>
      </c>
      <c r="Q13" s="153">
        <f t="shared" si="14"/>
        <v>0.66666666666666674</v>
      </c>
      <c r="R13" s="151">
        <f t="shared" si="15"/>
        <v>47372.236666666671</v>
      </c>
      <c r="S13" s="152">
        <f t="shared" si="6"/>
        <v>0.16666666666666669</v>
      </c>
      <c r="T13" s="153">
        <f t="shared" si="16"/>
        <v>0.83333333333333348</v>
      </c>
      <c r="U13" s="151">
        <f t="shared" si="17"/>
        <v>47372.236666666671</v>
      </c>
      <c r="V13" s="152">
        <f t="shared" si="7"/>
        <v>0.16666666666666669</v>
      </c>
      <c r="W13" s="153">
        <f t="shared" si="18"/>
        <v>1.0000000000000002</v>
      </c>
      <c r="X13" s="154">
        <f t="shared" si="19"/>
        <v>1.0000000000000002</v>
      </c>
      <c r="Z13" s="1"/>
      <c r="AB13" s="1"/>
    </row>
    <row r="14" spans="1:28" x14ac:dyDescent="0.25">
      <c r="A14" s="142" t="s">
        <v>34</v>
      </c>
      <c r="B14" s="147" t="str">
        <f>VLOOKUP(A14,Tabela3[[ITEM]:[DESCRIÇÃO]],6,FALSE)</f>
        <v>COBERTURA</v>
      </c>
      <c r="C14" s="155"/>
      <c r="D14" s="149">
        <f t="shared" si="0"/>
        <v>0.1097245517727775</v>
      </c>
      <c r="E14" s="150">
        <f>VLOOKUP(A14,'ORÇAMENTO_N DES'!$B:$P,14,0)</f>
        <v>123176.75</v>
      </c>
      <c r="F14" s="151">
        <f t="shared" ref="F14:F15" si="20">G14*E14</f>
        <v>20529.458333333336</v>
      </c>
      <c r="G14" s="152">
        <f t="shared" si="8"/>
        <v>0.16666666666666669</v>
      </c>
      <c r="H14" s="153">
        <f t="shared" ref="H14:H15" si="21">G14</f>
        <v>0.16666666666666669</v>
      </c>
      <c r="I14" s="151">
        <f t="shared" si="9"/>
        <v>20529.458333333336</v>
      </c>
      <c r="J14" s="152">
        <f t="shared" si="3"/>
        <v>0.16666666666666669</v>
      </c>
      <c r="K14" s="153">
        <f t="shared" si="10"/>
        <v>0.33333333333333337</v>
      </c>
      <c r="L14" s="151">
        <f t="shared" si="11"/>
        <v>20529.458333333336</v>
      </c>
      <c r="M14" s="152">
        <f t="shared" si="4"/>
        <v>0.16666666666666669</v>
      </c>
      <c r="N14" s="153">
        <f t="shared" si="12"/>
        <v>0.5</v>
      </c>
      <c r="O14" s="151">
        <f t="shared" si="13"/>
        <v>20529.458333333336</v>
      </c>
      <c r="P14" s="152">
        <f t="shared" si="5"/>
        <v>0.16666666666666669</v>
      </c>
      <c r="Q14" s="153">
        <f t="shared" si="14"/>
        <v>0.66666666666666674</v>
      </c>
      <c r="R14" s="151">
        <f t="shared" si="15"/>
        <v>20529.458333333336</v>
      </c>
      <c r="S14" s="152">
        <f t="shared" si="6"/>
        <v>0.16666666666666669</v>
      </c>
      <c r="T14" s="153">
        <f t="shared" si="16"/>
        <v>0.83333333333333348</v>
      </c>
      <c r="U14" s="151">
        <f t="shared" ref="U14:U15" si="22">V14*E14</f>
        <v>20529.458333333336</v>
      </c>
      <c r="V14" s="152">
        <f t="shared" si="7"/>
        <v>0.16666666666666669</v>
      </c>
      <c r="W14" s="153">
        <f t="shared" si="18"/>
        <v>1.0000000000000002</v>
      </c>
      <c r="X14" s="154">
        <f t="shared" si="19"/>
        <v>1.0000000000000002</v>
      </c>
      <c r="Z14" s="1"/>
      <c r="AB14" s="1"/>
    </row>
    <row r="15" spans="1:28" x14ac:dyDescent="0.25">
      <c r="A15" s="142" t="s">
        <v>57</v>
      </c>
      <c r="B15" s="147" t="str">
        <f>VLOOKUP(A15,Tabela3[[ITEM]:[DESCRIÇÃO]],6,FALSE)</f>
        <v>PISO</v>
      </c>
      <c r="C15" s="155"/>
      <c r="D15" s="149">
        <f t="shared" si="0"/>
        <v>0.11494846190544623</v>
      </c>
      <c r="E15" s="150">
        <f>VLOOKUP(A15,'ORÇAMENTO_N DES'!$B:$P,14,0)</f>
        <v>129041.10999999999</v>
      </c>
      <c r="F15" s="151">
        <f t="shared" si="20"/>
        <v>21506.851666666666</v>
      </c>
      <c r="G15" s="152">
        <f t="shared" si="8"/>
        <v>0.16666666666666669</v>
      </c>
      <c r="H15" s="153">
        <f t="shared" si="21"/>
        <v>0.16666666666666669</v>
      </c>
      <c r="I15" s="151">
        <f t="shared" si="9"/>
        <v>21506.851666666666</v>
      </c>
      <c r="J15" s="152">
        <f t="shared" si="3"/>
        <v>0.16666666666666669</v>
      </c>
      <c r="K15" s="153">
        <f t="shared" si="10"/>
        <v>0.33333333333333337</v>
      </c>
      <c r="L15" s="151">
        <f t="shared" si="11"/>
        <v>21506.851666666666</v>
      </c>
      <c r="M15" s="152">
        <f t="shared" si="4"/>
        <v>0.16666666666666669</v>
      </c>
      <c r="N15" s="153">
        <f t="shared" si="12"/>
        <v>0.5</v>
      </c>
      <c r="O15" s="151">
        <f t="shared" si="13"/>
        <v>21506.851666666666</v>
      </c>
      <c r="P15" s="152">
        <f t="shared" si="5"/>
        <v>0.16666666666666669</v>
      </c>
      <c r="Q15" s="153">
        <f t="shared" si="14"/>
        <v>0.66666666666666674</v>
      </c>
      <c r="R15" s="151">
        <f t="shared" si="15"/>
        <v>21506.851666666666</v>
      </c>
      <c r="S15" s="152">
        <f t="shared" si="6"/>
        <v>0.16666666666666669</v>
      </c>
      <c r="T15" s="153">
        <f t="shared" si="16"/>
        <v>0.83333333333333348</v>
      </c>
      <c r="U15" s="151">
        <f t="shared" si="22"/>
        <v>21506.851666666666</v>
      </c>
      <c r="V15" s="152">
        <f t="shared" si="7"/>
        <v>0.16666666666666669</v>
      </c>
      <c r="W15" s="153">
        <f t="shared" si="18"/>
        <v>1.0000000000000002</v>
      </c>
      <c r="X15" s="154">
        <f t="shared" si="19"/>
        <v>1.0000000000000002</v>
      </c>
      <c r="Z15" s="1"/>
      <c r="AB15" s="1"/>
    </row>
    <row r="16" spans="1:28" x14ac:dyDescent="0.25">
      <c r="A16" s="142" t="s">
        <v>116</v>
      </c>
      <c r="B16" s="147" t="str">
        <f>VLOOKUP(A16,Tabela3[[ITEM]:[DESCRIÇÃO]],6,FALSE)</f>
        <v>URBANIZAÇÃO</v>
      </c>
      <c r="C16" s="155"/>
      <c r="D16" s="149">
        <f t="shared" si="0"/>
        <v>1.1650457312161607E-2</v>
      </c>
      <c r="E16" s="150">
        <f>VLOOKUP(A16,'ORÇAMENTO_N DES'!$B:$P,14,0)</f>
        <v>13078.8</v>
      </c>
      <c r="F16" s="151">
        <f t="shared" si="1"/>
        <v>2179.8000000000002</v>
      </c>
      <c r="G16" s="152">
        <f t="shared" si="8"/>
        <v>0.16666666666666669</v>
      </c>
      <c r="H16" s="153">
        <f t="shared" si="2"/>
        <v>0.16666666666666669</v>
      </c>
      <c r="I16" s="151">
        <f t="shared" si="9"/>
        <v>2179.8000000000002</v>
      </c>
      <c r="J16" s="152">
        <f t="shared" si="3"/>
        <v>0.16666666666666669</v>
      </c>
      <c r="K16" s="153">
        <f t="shared" si="10"/>
        <v>0.33333333333333337</v>
      </c>
      <c r="L16" s="151">
        <f t="shared" si="11"/>
        <v>2179.8000000000002</v>
      </c>
      <c r="M16" s="152">
        <f t="shared" si="4"/>
        <v>0.16666666666666669</v>
      </c>
      <c r="N16" s="153">
        <f t="shared" si="12"/>
        <v>0.5</v>
      </c>
      <c r="O16" s="151">
        <f t="shared" si="13"/>
        <v>2179.8000000000002</v>
      </c>
      <c r="P16" s="152">
        <f t="shared" si="5"/>
        <v>0.16666666666666669</v>
      </c>
      <c r="Q16" s="153">
        <f t="shared" si="14"/>
        <v>0.66666666666666674</v>
      </c>
      <c r="R16" s="151">
        <f t="shared" si="15"/>
        <v>2179.8000000000002</v>
      </c>
      <c r="S16" s="152">
        <f t="shared" si="6"/>
        <v>0.16666666666666669</v>
      </c>
      <c r="T16" s="153">
        <f t="shared" si="16"/>
        <v>0.83333333333333348</v>
      </c>
      <c r="U16" s="151">
        <f t="shared" si="17"/>
        <v>2179.8000000000002</v>
      </c>
      <c r="V16" s="152">
        <f t="shared" si="7"/>
        <v>0.16666666666666669</v>
      </c>
      <c r="W16" s="153">
        <f t="shared" si="18"/>
        <v>1.0000000000000002</v>
      </c>
      <c r="X16" s="154">
        <f t="shared" si="19"/>
        <v>1.0000000000000002</v>
      </c>
      <c r="Z16" s="1"/>
      <c r="AB16" s="1"/>
    </row>
    <row r="17" spans="1:28" x14ac:dyDescent="0.25">
      <c r="A17" s="142" t="s">
        <v>59</v>
      </c>
      <c r="B17" s="147" t="str">
        <f>VLOOKUP(A17,Tabela3[[ITEM]:[DESCRIÇÃO]],6,FALSE)</f>
        <v>SERVIÇOS COMPLEMENTARES</v>
      </c>
      <c r="C17" s="155"/>
      <c r="D17" s="149">
        <f t="shared" si="0"/>
        <v>5.4515478184116055E-2</v>
      </c>
      <c r="E17" s="150">
        <f>VLOOKUP(A17,'ORÇAMENTO_N DES'!$B:$P,14,0)</f>
        <v>61199.060000000005</v>
      </c>
      <c r="F17" s="151">
        <f t="shared" si="1"/>
        <v>10199.843333333336</v>
      </c>
      <c r="G17" s="152">
        <f t="shared" si="8"/>
        <v>0.16666666666666669</v>
      </c>
      <c r="H17" s="153">
        <f t="shared" si="2"/>
        <v>0.16666666666666669</v>
      </c>
      <c r="I17" s="151">
        <f t="shared" si="9"/>
        <v>10199.843333333336</v>
      </c>
      <c r="J17" s="152">
        <f t="shared" si="3"/>
        <v>0.16666666666666669</v>
      </c>
      <c r="K17" s="153">
        <f t="shared" si="10"/>
        <v>0.33333333333333337</v>
      </c>
      <c r="L17" s="151">
        <f t="shared" si="11"/>
        <v>10199.843333333336</v>
      </c>
      <c r="M17" s="152">
        <f t="shared" si="4"/>
        <v>0.16666666666666669</v>
      </c>
      <c r="N17" s="153">
        <f t="shared" si="12"/>
        <v>0.5</v>
      </c>
      <c r="O17" s="151">
        <f t="shared" si="13"/>
        <v>10199.843333333336</v>
      </c>
      <c r="P17" s="152">
        <f t="shared" si="5"/>
        <v>0.16666666666666669</v>
      </c>
      <c r="Q17" s="153">
        <f t="shared" si="14"/>
        <v>0.66666666666666674</v>
      </c>
      <c r="R17" s="151">
        <f t="shared" si="15"/>
        <v>10199.843333333336</v>
      </c>
      <c r="S17" s="152">
        <f t="shared" si="6"/>
        <v>0.16666666666666669</v>
      </c>
      <c r="T17" s="153">
        <f t="shared" si="16"/>
        <v>0.83333333333333348</v>
      </c>
      <c r="U17" s="151">
        <f t="shared" si="17"/>
        <v>10199.843333333336</v>
      </c>
      <c r="V17" s="152">
        <f t="shared" si="7"/>
        <v>0.16666666666666669</v>
      </c>
      <c r="W17" s="153">
        <f t="shared" si="18"/>
        <v>1.0000000000000002</v>
      </c>
      <c r="X17" s="154">
        <f t="shared" si="19"/>
        <v>1.0000000000000002</v>
      </c>
      <c r="Z17" s="1"/>
      <c r="AB17" s="1"/>
    </row>
    <row r="18" spans="1:28" x14ac:dyDescent="0.25">
      <c r="A18" s="142" t="s">
        <v>61</v>
      </c>
      <c r="B18" s="147" t="str">
        <f>VLOOKUP(A18,Tabela3[[ITEM]:[DESCRIÇÃO]],6,FALSE)</f>
        <v xml:space="preserve">ADMINISTRAÇÃO LOCAL </v>
      </c>
      <c r="C18" s="155"/>
      <c r="D18" s="149">
        <f t="shared" si="0"/>
        <v>6.8917726693515716E-2</v>
      </c>
      <c r="E18" s="150">
        <f>VLOOKUP(A18,'ORÇAMENTO_N DES'!$B:$P,14,0)</f>
        <v>77367.02</v>
      </c>
      <c r="F18" s="151">
        <f t="shared" si="1"/>
        <v>12894.503333333336</v>
      </c>
      <c r="G18" s="152">
        <f t="shared" si="8"/>
        <v>0.16666666666666669</v>
      </c>
      <c r="H18" s="153">
        <f t="shared" si="2"/>
        <v>0.16666666666666669</v>
      </c>
      <c r="I18" s="151">
        <f t="shared" si="9"/>
        <v>12894.503333333336</v>
      </c>
      <c r="J18" s="152">
        <f t="shared" si="3"/>
        <v>0.16666666666666669</v>
      </c>
      <c r="K18" s="153">
        <f t="shared" si="10"/>
        <v>0.33333333333333337</v>
      </c>
      <c r="L18" s="151">
        <f t="shared" si="11"/>
        <v>12894.503333333336</v>
      </c>
      <c r="M18" s="152">
        <f t="shared" si="4"/>
        <v>0.16666666666666669</v>
      </c>
      <c r="N18" s="153">
        <f t="shared" si="12"/>
        <v>0.5</v>
      </c>
      <c r="O18" s="151">
        <f t="shared" si="13"/>
        <v>12894.503333333336</v>
      </c>
      <c r="P18" s="152">
        <f t="shared" si="5"/>
        <v>0.16666666666666669</v>
      </c>
      <c r="Q18" s="153">
        <f t="shared" si="14"/>
        <v>0.66666666666666674</v>
      </c>
      <c r="R18" s="151">
        <f t="shared" si="15"/>
        <v>12894.503333333336</v>
      </c>
      <c r="S18" s="152">
        <f t="shared" si="6"/>
        <v>0.16666666666666669</v>
      </c>
      <c r="T18" s="153">
        <f t="shared" si="16"/>
        <v>0.83333333333333348</v>
      </c>
      <c r="U18" s="151">
        <f t="shared" si="17"/>
        <v>12894.503333333336</v>
      </c>
      <c r="V18" s="152">
        <f t="shared" si="7"/>
        <v>0.16666666666666669</v>
      </c>
      <c r="W18" s="153">
        <f t="shared" si="18"/>
        <v>1.0000000000000002</v>
      </c>
      <c r="X18" s="154">
        <f t="shared" si="19"/>
        <v>1.0000000000000002</v>
      </c>
      <c r="Z18" s="1"/>
      <c r="AB18" s="1"/>
    </row>
    <row r="19" spans="1:28" x14ac:dyDescent="0.25">
      <c r="A19" s="142" t="s">
        <v>118</v>
      </c>
      <c r="B19" s="147" t="str">
        <f>VLOOKUP(A19,Tabela3[[ITEM]:[DESCRIÇÃO]],6,FALSE)</f>
        <v xml:space="preserve">LIMPEZA FINAL </v>
      </c>
      <c r="C19" s="155"/>
      <c r="D19" s="149">
        <f t="shared" si="0"/>
        <v>2.4055725081204592E-2</v>
      </c>
      <c r="E19" s="150">
        <f>VLOOKUP(A19,'ORÇAMENTO_N DES'!$B:$P,14,0)</f>
        <v>27004.95</v>
      </c>
      <c r="F19" s="151">
        <f t="shared" si="1"/>
        <v>4500.8250000000007</v>
      </c>
      <c r="G19" s="152">
        <f t="shared" si="8"/>
        <v>0.16666666666666669</v>
      </c>
      <c r="H19" s="153">
        <f t="shared" si="2"/>
        <v>0.16666666666666669</v>
      </c>
      <c r="I19" s="151">
        <f t="shared" si="9"/>
        <v>4500.8250000000007</v>
      </c>
      <c r="J19" s="152">
        <f t="shared" si="3"/>
        <v>0.16666666666666669</v>
      </c>
      <c r="K19" s="153">
        <f t="shared" si="10"/>
        <v>0.33333333333333337</v>
      </c>
      <c r="L19" s="151">
        <f t="shared" si="11"/>
        <v>4500.8250000000007</v>
      </c>
      <c r="M19" s="152">
        <f t="shared" si="4"/>
        <v>0.16666666666666669</v>
      </c>
      <c r="N19" s="153">
        <f t="shared" si="12"/>
        <v>0.5</v>
      </c>
      <c r="O19" s="151">
        <f t="shared" si="13"/>
        <v>4500.8250000000007</v>
      </c>
      <c r="P19" s="152">
        <f t="shared" si="5"/>
        <v>0.16666666666666669</v>
      </c>
      <c r="Q19" s="153">
        <f t="shared" si="14"/>
        <v>0.66666666666666674</v>
      </c>
      <c r="R19" s="151">
        <f t="shared" si="15"/>
        <v>4500.8250000000007</v>
      </c>
      <c r="S19" s="152">
        <f t="shared" si="6"/>
        <v>0.16666666666666669</v>
      </c>
      <c r="T19" s="153">
        <f t="shared" si="16"/>
        <v>0.83333333333333348</v>
      </c>
      <c r="U19" s="151">
        <f t="shared" si="17"/>
        <v>4500.8250000000007</v>
      </c>
      <c r="V19" s="152">
        <f t="shared" si="7"/>
        <v>0.16666666666666669</v>
      </c>
      <c r="W19" s="153">
        <f t="shared" si="18"/>
        <v>1.0000000000000002</v>
      </c>
      <c r="X19" s="154">
        <f t="shared" si="19"/>
        <v>1.0000000000000002</v>
      </c>
      <c r="Z19" s="1"/>
      <c r="AB19" s="1"/>
    </row>
    <row r="20" spans="1:28" x14ac:dyDescent="0.25">
      <c r="A20" s="3"/>
      <c r="B20" s="156"/>
      <c r="C20" s="156"/>
      <c r="D20" s="157">
        <f>SUM(D11:D19)</f>
        <v>1.0000000000000002</v>
      </c>
      <c r="E20" s="158">
        <f>SUM(E11:E19)</f>
        <v>1122599.71</v>
      </c>
      <c r="F20" s="159"/>
      <c r="G20" s="160"/>
      <c r="H20" s="161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6"/>
      <c r="V20" s="152"/>
      <c r="W20" s="167"/>
      <c r="X20" s="169"/>
      <c r="Z20" s="1"/>
      <c r="AB20" s="1"/>
    </row>
    <row r="21" spans="1:28" x14ac:dyDescent="0.25">
      <c r="A21" s="5"/>
      <c r="B21" s="841" t="s">
        <v>8</v>
      </c>
      <c r="C21" s="841"/>
      <c r="D21" s="841"/>
      <c r="E21" s="842"/>
      <c r="F21" s="170">
        <f>SUM(F11:F19)</f>
        <v>187099.95166666669</v>
      </c>
      <c r="G21" s="171"/>
      <c r="H21" s="172"/>
      <c r="I21" s="170">
        <f>SUM(I11:I19)</f>
        <v>187099.95166666669</v>
      </c>
      <c r="J21" s="171"/>
      <c r="K21" s="172"/>
      <c r="L21" s="170">
        <f>SUM(L11:L19)</f>
        <v>187099.95166666669</v>
      </c>
      <c r="M21" s="171"/>
      <c r="N21" s="172"/>
      <c r="O21" s="170">
        <f>SUM(O11:O19)</f>
        <v>187099.95166666669</v>
      </c>
      <c r="P21" s="171"/>
      <c r="Q21" s="172"/>
      <c r="R21" s="170">
        <f>SUM(R11:R19)</f>
        <v>187099.95166666669</v>
      </c>
      <c r="S21" s="171"/>
      <c r="T21" s="172"/>
      <c r="U21" s="170">
        <f>SUM(U11:U19)</f>
        <v>187099.95166666669</v>
      </c>
      <c r="V21" s="171"/>
      <c r="W21" s="172"/>
      <c r="X21" s="169"/>
    </row>
    <row r="22" spans="1:28" x14ac:dyDescent="0.25">
      <c r="A22" s="4"/>
      <c r="B22" s="851" t="s">
        <v>9</v>
      </c>
      <c r="C22" s="851"/>
      <c r="D22" s="851"/>
      <c r="E22" s="852"/>
      <c r="F22" s="173">
        <f>F21</f>
        <v>187099.95166666669</v>
      </c>
      <c r="G22" s="174">
        <f>F21/$E$20</f>
        <v>0.16666666666666669</v>
      </c>
      <c r="H22" s="175">
        <f>G22</f>
        <v>0.16666666666666669</v>
      </c>
      <c r="I22" s="173">
        <f>I21+F21</f>
        <v>374199.90333333338</v>
      </c>
      <c r="J22" s="174">
        <f>I21/$E$20</f>
        <v>0.16666666666666669</v>
      </c>
      <c r="K22" s="175">
        <f>J22+G22</f>
        <v>0.33333333333333337</v>
      </c>
      <c r="L22" s="173">
        <f>L21+I22</f>
        <v>561299.8550000001</v>
      </c>
      <c r="M22" s="174">
        <f>L21/$E$20</f>
        <v>0.16666666666666669</v>
      </c>
      <c r="N22" s="175">
        <f>M22+K22</f>
        <v>0.5</v>
      </c>
      <c r="O22" s="173">
        <f>O21+L22</f>
        <v>748399.80666666676</v>
      </c>
      <c r="P22" s="174">
        <f>O21/$E$20</f>
        <v>0.16666666666666669</v>
      </c>
      <c r="Q22" s="175">
        <f>P22+N22</f>
        <v>0.66666666666666674</v>
      </c>
      <c r="R22" s="173">
        <f>R21+O22</f>
        <v>935499.75833333342</v>
      </c>
      <c r="S22" s="174">
        <f>R21/$E$20</f>
        <v>0.16666666666666669</v>
      </c>
      <c r="T22" s="175">
        <f>S22+Q22</f>
        <v>0.83333333333333348</v>
      </c>
      <c r="U22" s="173">
        <f>U21+R22</f>
        <v>1122599.7100000002</v>
      </c>
      <c r="V22" s="174">
        <f>U21/$E$20</f>
        <v>0.16666666666666669</v>
      </c>
      <c r="W22" s="175">
        <f>V22+T22</f>
        <v>1.0000000000000002</v>
      </c>
      <c r="X22" s="169"/>
    </row>
    <row r="23" spans="1:28" ht="4.1500000000000004" customHeight="1" x14ac:dyDescent="0.25">
      <c r="A23" s="18"/>
      <c r="B23" s="176"/>
      <c r="C23" s="176"/>
      <c r="D23" s="177"/>
      <c r="E23" s="178"/>
      <c r="F23" s="179"/>
      <c r="G23" s="179"/>
      <c r="H23" s="180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85"/>
      <c r="V23" s="185"/>
      <c r="W23" s="185"/>
      <c r="X23" s="186"/>
    </row>
    <row r="24" spans="1:28" hidden="1" x14ac:dyDescent="0.25">
      <c r="A24" s="840" t="s">
        <v>5</v>
      </c>
      <c r="B24" s="843" t="s">
        <v>6</v>
      </c>
      <c r="C24" s="844"/>
      <c r="D24" s="847" t="s">
        <v>0</v>
      </c>
      <c r="E24" s="849" t="s">
        <v>22</v>
      </c>
      <c r="F24" s="826" t="s">
        <v>258</v>
      </c>
      <c r="G24" s="827"/>
      <c r="H24" s="828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826" t="s">
        <v>263</v>
      </c>
      <c r="V24" s="827"/>
      <c r="W24" s="828"/>
      <c r="X24" s="181" t="s">
        <v>178</v>
      </c>
    </row>
    <row r="25" spans="1:28" hidden="1" x14ac:dyDescent="0.25">
      <c r="A25" s="840" t="s">
        <v>5</v>
      </c>
      <c r="B25" s="845"/>
      <c r="C25" s="846"/>
      <c r="D25" s="848"/>
      <c r="E25" s="850"/>
      <c r="F25" s="182" t="s">
        <v>23</v>
      </c>
      <c r="G25" s="182" t="s">
        <v>0</v>
      </c>
      <c r="H25" s="183" t="s">
        <v>33</v>
      </c>
      <c r="I25" s="556"/>
      <c r="J25" s="556"/>
      <c r="K25" s="556"/>
      <c r="L25" s="556"/>
      <c r="M25" s="556"/>
      <c r="N25" s="556"/>
      <c r="O25" s="556"/>
      <c r="P25" s="556"/>
      <c r="Q25" s="556"/>
      <c r="R25" s="556"/>
      <c r="S25" s="556"/>
      <c r="T25" s="556"/>
      <c r="U25" s="182" t="s">
        <v>23</v>
      </c>
      <c r="V25" s="182" t="s">
        <v>0</v>
      </c>
      <c r="W25" s="183" t="s">
        <v>33</v>
      </c>
      <c r="X25" s="184"/>
    </row>
    <row r="26" spans="1:28" hidden="1" x14ac:dyDescent="0.25">
      <c r="A26" s="141">
        <v>1</v>
      </c>
      <c r="B26" s="147" t="str">
        <f>B11</f>
        <v>SERVIÇOS PRELIMINARES</v>
      </c>
      <c r="C26" s="148"/>
      <c r="D26" s="149">
        <f t="shared" ref="D26:D50" si="23">E26/E$20</f>
        <v>0.11941830984438792</v>
      </c>
      <c r="E26" s="150">
        <f>E11</f>
        <v>134058.96000000002</v>
      </c>
      <c r="F26" s="151">
        <f t="shared" ref="F26:F50" si="24">G26*E26</f>
        <v>0</v>
      </c>
      <c r="G26" s="152">
        <v>0</v>
      </c>
      <c r="H26" s="153">
        <f>G26+W11</f>
        <v>1.0000000000000002</v>
      </c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7"/>
      <c r="T26" s="557"/>
      <c r="U26" s="151">
        <f t="shared" ref="U26:U50" si="25">V26*E26</f>
        <v>0</v>
      </c>
      <c r="V26" s="152">
        <v>0</v>
      </c>
      <c r="W26" s="153" t="e">
        <f>V26+#REF!</f>
        <v>#REF!</v>
      </c>
      <c r="X26" s="154" t="e">
        <f>G26+#REF!+#REF!+#REF!+#REF!+V26+V11+#REF!+#REF!+#REF!+#REF!+G11</f>
        <v>#REF!</v>
      </c>
    </row>
    <row r="27" spans="1:28" hidden="1" x14ac:dyDescent="0.25">
      <c r="A27" s="142">
        <v>2</v>
      </c>
      <c r="B27" s="147" t="str">
        <f>B12</f>
        <v>ESTRUTURA DE CONCRETO ARMADO</v>
      </c>
      <c r="C27" s="148"/>
      <c r="D27" s="149">
        <f t="shared" si="23"/>
        <v>0.24357715182377881</v>
      </c>
      <c r="E27" s="150">
        <f>E12</f>
        <v>273439.64000000007</v>
      </c>
      <c r="F27" s="151">
        <f t="shared" si="24"/>
        <v>0</v>
      </c>
      <c r="G27" s="152">
        <v>0</v>
      </c>
      <c r="H27" s="153">
        <f>G27+W12</f>
        <v>1.0000000000000002</v>
      </c>
      <c r="I27" s="557"/>
      <c r="J27" s="557"/>
      <c r="K27" s="557"/>
      <c r="L27" s="557"/>
      <c r="M27" s="557"/>
      <c r="N27" s="557"/>
      <c r="O27" s="557"/>
      <c r="P27" s="557"/>
      <c r="Q27" s="557"/>
      <c r="R27" s="557"/>
      <c r="S27" s="557"/>
      <c r="T27" s="557"/>
      <c r="U27" s="151">
        <f t="shared" si="25"/>
        <v>0</v>
      </c>
      <c r="V27" s="152">
        <v>0</v>
      </c>
      <c r="W27" s="153" t="e">
        <f>V27+#REF!</f>
        <v>#REF!</v>
      </c>
      <c r="X27" s="154" t="e">
        <f>G27+#REF!+#REF!+#REF!+#REF!+V27+V12+#REF!+#REF!+#REF!+#REF!+G12</f>
        <v>#REF!</v>
      </c>
    </row>
    <row r="28" spans="1:28" hidden="1" x14ac:dyDescent="0.25">
      <c r="A28" s="142">
        <v>3</v>
      </c>
      <c r="B28" s="147" t="str">
        <f>B13</f>
        <v>ESTRUTURA METÁLICA</v>
      </c>
      <c r="C28" s="155"/>
      <c r="D28" s="149">
        <f t="shared" si="23"/>
        <v>0.25319213738261165</v>
      </c>
      <c r="E28" s="150">
        <f>E13</f>
        <v>284233.42</v>
      </c>
      <c r="F28" s="151">
        <f t="shared" si="24"/>
        <v>0</v>
      </c>
      <c r="G28" s="152">
        <v>0</v>
      </c>
      <c r="H28" s="153">
        <f>G28+W13</f>
        <v>1.0000000000000002</v>
      </c>
      <c r="I28" s="557"/>
      <c r="J28" s="557"/>
      <c r="K28" s="557"/>
      <c r="L28" s="557"/>
      <c r="M28" s="557"/>
      <c r="N28" s="557"/>
      <c r="O28" s="557"/>
      <c r="P28" s="557"/>
      <c r="Q28" s="557"/>
      <c r="R28" s="557"/>
      <c r="S28" s="557"/>
      <c r="T28" s="557"/>
      <c r="U28" s="151">
        <f t="shared" si="25"/>
        <v>0</v>
      </c>
      <c r="V28" s="152">
        <v>0</v>
      </c>
      <c r="W28" s="153" t="e">
        <f>V28+#REF!</f>
        <v>#REF!</v>
      </c>
      <c r="X28" s="154" t="e">
        <f>G28+#REF!+#REF!+#REF!+#REF!+V28+V13+#REF!+#REF!+#REF!+#REF!+G13</f>
        <v>#REF!</v>
      </c>
    </row>
    <row r="29" spans="1:28" hidden="1" x14ac:dyDescent="0.25">
      <c r="A29" s="142">
        <v>4</v>
      </c>
      <c r="B29" s="147" t="str">
        <f t="shared" ref="B29:B32" si="26">B16</f>
        <v>URBANIZAÇÃO</v>
      </c>
      <c r="C29" s="155"/>
      <c r="D29" s="149">
        <f t="shared" si="23"/>
        <v>1.1650457312161607E-2</v>
      </c>
      <c r="E29" s="150">
        <f t="shared" ref="E29:E32" si="27">E16</f>
        <v>13078.8</v>
      </c>
      <c r="F29" s="151">
        <f t="shared" si="24"/>
        <v>1961.8199999999997</v>
      </c>
      <c r="G29" s="152">
        <v>0.15</v>
      </c>
      <c r="H29" s="153">
        <f t="shared" ref="H29:H32" si="28">G29+W16</f>
        <v>1.1500000000000001</v>
      </c>
      <c r="I29" s="557"/>
      <c r="J29" s="557"/>
      <c r="K29" s="557"/>
      <c r="L29" s="557"/>
      <c r="M29" s="557"/>
      <c r="N29" s="557"/>
      <c r="O29" s="557"/>
      <c r="P29" s="557"/>
      <c r="Q29" s="557"/>
      <c r="R29" s="557"/>
      <c r="S29" s="557"/>
      <c r="T29" s="557"/>
      <c r="U29" s="151">
        <f t="shared" si="25"/>
        <v>0</v>
      </c>
      <c r="V29" s="152">
        <v>0</v>
      </c>
      <c r="W29" s="153" t="e">
        <f>V29+#REF!</f>
        <v>#REF!</v>
      </c>
      <c r="X29" s="154" t="e">
        <f>G29+#REF!+#REF!+#REF!+#REF!+V29+V16+#REF!+#REF!+#REF!+#REF!+G16</f>
        <v>#REF!</v>
      </c>
    </row>
    <row r="30" spans="1:28" hidden="1" x14ac:dyDescent="0.25">
      <c r="A30" s="142">
        <v>5</v>
      </c>
      <c r="B30" s="147" t="str">
        <f t="shared" si="26"/>
        <v>SERVIÇOS COMPLEMENTARES</v>
      </c>
      <c r="C30" s="155"/>
      <c r="D30" s="149">
        <f t="shared" si="23"/>
        <v>5.4515478184116055E-2</v>
      </c>
      <c r="E30" s="150">
        <f t="shared" si="27"/>
        <v>61199.060000000005</v>
      </c>
      <c r="F30" s="151">
        <f t="shared" si="24"/>
        <v>0</v>
      </c>
      <c r="G30" s="152">
        <v>0</v>
      </c>
      <c r="H30" s="153">
        <f t="shared" si="28"/>
        <v>1.0000000000000002</v>
      </c>
      <c r="I30" s="557"/>
      <c r="J30" s="557"/>
      <c r="K30" s="557"/>
      <c r="L30" s="557"/>
      <c r="M30" s="557"/>
      <c r="N30" s="557"/>
      <c r="O30" s="557"/>
      <c r="P30" s="557"/>
      <c r="Q30" s="557"/>
      <c r="R30" s="557"/>
      <c r="S30" s="557"/>
      <c r="T30" s="557"/>
      <c r="U30" s="151">
        <f t="shared" si="25"/>
        <v>0</v>
      </c>
      <c r="V30" s="152">
        <v>0</v>
      </c>
      <c r="W30" s="153" t="e">
        <f>V30+#REF!</f>
        <v>#REF!</v>
      </c>
      <c r="X30" s="154" t="e">
        <f>G30+#REF!+#REF!+#REF!+#REF!+V30+V17+#REF!+#REF!+#REF!+#REF!+G17</f>
        <v>#REF!</v>
      </c>
    </row>
    <row r="31" spans="1:28" hidden="1" x14ac:dyDescent="0.25">
      <c r="A31" s="142">
        <v>6</v>
      </c>
      <c r="B31" s="147" t="str">
        <f t="shared" si="26"/>
        <v xml:space="preserve">ADMINISTRAÇÃO LOCAL </v>
      </c>
      <c r="C31" s="155"/>
      <c r="D31" s="149">
        <f t="shared" si="23"/>
        <v>6.8917726693515716E-2</v>
      </c>
      <c r="E31" s="150">
        <f t="shared" si="27"/>
        <v>77367.02</v>
      </c>
      <c r="F31" s="151">
        <f t="shared" si="24"/>
        <v>11605.053</v>
      </c>
      <c r="G31" s="152">
        <v>0.15</v>
      </c>
      <c r="H31" s="153">
        <f t="shared" si="28"/>
        <v>1.1500000000000001</v>
      </c>
      <c r="I31" s="557"/>
      <c r="J31" s="557"/>
      <c r="K31" s="557"/>
      <c r="L31" s="557"/>
      <c r="M31" s="557"/>
      <c r="N31" s="557"/>
      <c r="O31" s="557"/>
      <c r="P31" s="557"/>
      <c r="Q31" s="557"/>
      <c r="R31" s="557"/>
      <c r="S31" s="557"/>
      <c r="T31" s="557"/>
      <c r="U31" s="151">
        <f t="shared" si="25"/>
        <v>0</v>
      </c>
      <c r="V31" s="152">
        <v>0</v>
      </c>
      <c r="W31" s="153" t="e">
        <f>V31+#REF!</f>
        <v>#REF!</v>
      </c>
      <c r="X31" s="154" t="e">
        <f>G31+#REF!+#REF!+#REF!+#REF!+V31+V18+#REF!+#REF!+#REF!+#REF!+G18</f>
        <v>#REF!</v>
      </c>
    </row>
    <row r="32" spans="1:28" hidden="1" x14ac:dyDescent="0.25">
      <c r="A32" s="142">
        <v>7</v>
      </c>
      <c r="B32" s="147" t="str">
        <f t="shared" si="26"/>
        <v xml:space="preserve">LIMPEZA FINAL </v>
      </c>
      <c r="C32" s="155"/>
      <c r="D32" s="149">
        <f t="shared" si="23"/>
        <v>2.4055725081204592E-2</v>
      </c>
      <c r="E32" s="150">
        <f t="shared" si="27"/>
        <v>27004.95</v>
      </c>
      <c r="F32" s="151">
        <f t="shared" si="24"/>
        <v>0</v>
      </c>
      <c r="G32" s="152">
        <v>0</v>
      </c>
      <c r="H32" s="153">
        <f t="shared" si="28"/>
        <v>1.0000000000000002</v>
      </c>
      <c r="I32" s="557"/>
      <c r="J32" s="557"/>
      <c r="K32" s="557"/>
      <c r="L32" s="557"/>
      <c r="M32" s="557"/>
      <c r="N32" s="557"/>
      <c r="O32" s="557"/>
      <c r="P32" s="557"/>
      <c r="Q32" s="557"/>
      <c r="R32" s="557"/>
      <c r="S32" s="557"/>
      <c r="T32" s="557"/>
      <c r="U32" s="151">
        <f t="shared" si="25"/>
        <v>5400.9900000000007</v>
      </c>
      <c r="V32" s="152">
        <v>0.2</v>
      </c>
      <c r="W32" s="153" t="e">
        <f>V32+#REF!</f>
        <v>#REF!</v>
      </c>
      <c r="X32" s="154" t="e">
        <f>G32+#REF!+#REF!+#REF!+#REF!+V32+V19+#REF!+#REF!+#REF!+#REF!+G19</f>
        <v>#REF!</v>
      </c>
    </row>
    <row r="33" spans="1:24" hidden="1" x14ac:dyDescent="0.25">
      <c r="A33" s="142">
        <v>8</v>
      </c>
      <c r="B33" s="147" t="e">
        <f>#REF!</f>
        <v>#REF!</v>
      </c>
      <c r="C33" s="148"/>
      <c r="D33" s="149" t="e">
        <f t="shared" si="23"/>
        <v>#REF!</v>
      </c>
      <c r="E33" s="150" t="e">
        <f>#REF!</f>
        <v>#REF!</v>
      </c>
      <c r="F33" s="151" t="e">
        <f t="shared" si="24"/>
        <v>#REF!</v>
      </c>
      <c r="G33" s="152">
        <v>0</v>
      </c>
      <c r="H33" s="153" t="e">
        <f>G33+#REF!</f>
        <v>#REF!</v>
      </c>
      <c r="I33" s="557"/>
      <c r="J33" s="557"/>
      <c r="K33" s="557"/>
      <c r="L33" s="557"/>
      <c r="M33" s="557"/>
      <c r="N33" s="557"/>
      <c r="O33" s="557"/>
      <c r="P33" s="557"/>
      <c r="Q33" s="557"/>
      <c r="R33" s="557"/>
      <c r="S33" s="557"/>
      <c r="T33" s="557"/>
      <c r="U33" s="151" t="e">
        <f t="shared" si="25"/>
        <v>#REF!</v>
      </c>
      <c r="V33" s="152">
        <v>0.4</v>
      </c>
      <c r="W33" s="153" t="e">
        <f>V33+#REF!</f>
        <v>#REF!</v>
      </c>
      <c r="X33" s="154" t="e">
        <f>G33+#REF!+#REF!+#REF!+#REF!+V33+#REF!+#REF!+#REF!+#REF!+#REF!+#REF!</f>
        <v>#REF!</v>
      </c>
    </row>
    <row r="34" spans="1:24" hidden="1" x14ac:dyDescent="0.25">
      <c r="A34" s="142">
        <v>9</v>
      </c>
      <c r="B34" s="147" t="e">
        <f>#REF!</f>
        <v>#REF!</v>
      </c>
      <c r="C34" s="148"/>
      <c r="D34" s="149" t="e">
        <f t="shared" si="23"/>
        <v>#REF!</v>
      </c>
      <c r="E34" s="150" t="e">
        <f>#REF!</f>
        <v>#REF!</v>
      </c>
      <c r="F34" s="151" t="e">
        <f t="shared" si="24"/>
        <v>#REF!</v>
      </c>
      <c r="G34" s="152">
        <v>0.2</v>
      </c>
      <c r="H34" s="153" t="e">
        <f>G34+#REF!</f>
        <v>#REF!</v>
      </c>
      <c r="I34" s="557"/>
      <c r="J34" s="557"/>
      <c r="K34" s="557"/>
      <c r="L34" s="557"/>
      <c r="M34" s="557"/>
      <c r="N34" s="557"/>
      <c r="O34" s="557"/>
      <c r="P34" s="557"/>
      <c r="Q34" s="557"/>
      <c r="R34" s="557"/>
      <c r="S34" s="557"/>
      <c r="T34" s="557"/>
      <c r="U34" s="151" t="e">
        <f t="shared" si="25"/>
        <v>#REF!</v>
      </c>
      <c r="V34" s="152">
        <v>0</v>
      </c>
      <c r="W34" s="153" t="e">
        <f>V34+#REF!</f>
        <v>#REF!</v>
      </c>
      <c r="X34" s="154" t="e">
        <f>G34+#REF!+#REF!+#REF!+#REF!+V34+#REF!+#REF!+#REF!+#REF!+#REF!+#REF!</f>
        <v>#REF!</v>
      </c>
    </row>
    <row r="35" spans="1:24" hidden="1" x14ac:dyDescent="0.25">
      <c r="A35" s="142">
        <v>10</v>
      </c>
      <c r="B35" s="147" t="e">
        <f>#REF!</f>
        <v>#REF!</v>
      </c>
      <c r="C35" s="155"/>
      <c r="D35" s="149" t="e">
        <f t="shared" si="23"/>
        <v>#REF!</v>
      </c>
      <c r="E35" s="150" t="e">
        <f>#REF!</f>
        <v>#REF!</v>
      </c>
      <c r="F35" s="151" t="e">
        <f t="shared" si="24"/>
        <v>#REF!</v>
      </c>
      <c r="G35" s="152">
        <v>0</v>
      </c>
      <c r="H35" s="153" t="e">
        <f>G35+#REF!</f>
        <v>#REF!</v>
      </c>
      <c r="I35" s="557"/>
      <c r="J35" s="557"/>
      <c r="K35" s="557"/>
      <c r="L35" s="557"/>
      <c r="M35" s="557"/>
      <c r="N35" s="557"/>
      <c r="O35" s="557"/>
      <c r="P35" s="557"/>
      <c r="Q35" s="557"/>
      <c r="R35" s="557"/>
      <c r="S35" s="557"/>
      <c r="T35" s="557"/>
      <c r="U35" s="151" t="e">
        <f t="shared" si="25"/>
        <v>#REF!</v>
      </c>
      <c r="V35" s="152">
        <v>0.1</v>
      </c>
      <c r="W35" s="153" t="e">
        <f>V35+#REF!</f>
        <v>#REF!</v>
      </c>
      <c r="X35" s="154" t="e">
        <f>G35+#REF!+#REF!+#REF!+#REF!+V35+#REF!+#REF!+#REF!+#REF!+#REF!+#REF!</f>
        <v>#REF!</v>
      </c>
    </row>
    <row r="36" spans="1:24" hidden="1" x14ac:dyDescent="0.25">
      <c r="A36" s="142">
        <v>11</v>
      </c>
      <c r="B36" s="147" t="e">
        <f>#REF!</f>
        <v>#REF!</v>
      </c>
      <c r="C36" s="155"/>
      <c r="D36" s="149" t="e">
        <f t="shared" si="23"/>
        <v>#REF!</v>
      </c>
      <c r="E36" s="150" t="e">
        <f>#REF!</f>
        <v>#REF!</v>
      </c>
      <c r="F36" s="151" t="e">
        <f t="shared" si="24"/>
        <v>#REF!</v>
      </c>
      <c r="G36" s="152">
        <v>0</v>
      </c>
      <c r="H36" s="153" t="e">
        <f>G36+#REF!</f>
        <v>#REF!</v>
      </c>
      <c r="I36" s="557"/>
      <c r="J36" s="557"/>
      <c r="K36" s="557"/>
      <c r="L36" s="557"/>
      <c r="M36" s="557"/>
      <c r="N36" s="557"/>
      <c r="O36" s="557"/>
      <c r="P36" s="557"/>
      <c r="Q36" s="557"/>
      <c r="R36" s="557"/>
      <c r="S36" s="557"/>
      <c r="T36" s="557"/>
      <c r="U36" s="151" t="e">
        <f t="shared" si="25"/>
        <v>#REF!</v>
      </c>
      <c r="V36" s="152">
        <v>0.2</v>
      </c>
      <c r="W36" s="153" t="e">
        <f>V36+#REF!</f>
        <v>#REF!</v>
      </c>
      <c r="X36" s="154" t="e">
        <f>G36+#REF!+#REF!+#REF!+#REF!+V36+#REF!+#REF!+#REF!+#REF!+#REF!+#REF!</f>
        <v>#REF!</v>
      </c>
    </row>
    <row r="37" spans="1:24" hidden="1" x14ac:dyDescent="0.25">
      <c r="A37" s="142">
        <v>12</v>
      </c>
      <c r="B37" s="147" t="e">
        <f>#REF!</f>
        <v>#REF!</v>
      </c>
      <c r="C37" s="155"/>
      <c r="D37" s="149" t="e">
        <f t="shared" si="23"/>
        <v>#REF!</v>
      </c>
      <c r="E37" s="150" t="e">
        <f>#REF!</f>
        <v>#REF!</v>
      </c>
      <c r="F37" s="151" t="e">
        <f t="shared" si="24"/>
        <v>#REF!</v>
      </c>
      <c r="G37" s="152">
        <v>0.2</v>
      </c>
      <c r="H37" s="153" t="e">
        <f>G37+#REF!</f>
        <v>#REF!</v>
      </c>
      <c r="I37" s="557"/>
      <c r="J37" s="557"/>
      <c r="K37" s="557"/>
      <c r="L37" s="557"/>
      <c r="M37" s="557"/>
      <c r="N37" s="557"/>
      <c r="O37" s="557"/>
      <c r="P37" s="557"/>
      <c r="Q37" s="557"/>
      <c r="R37" s="557"/>
      <c r="S37" s="557"/>
      <c r="T37" s="557"/>
      <c r="U37" s="151" t="e">
        <f t="shared" si="25"/>
        <v>#REF!</v>
      </c>
      <c r="V37" s="152">
        <v>0</v>
      </c>
      <c r="W37" s="153" t="e">
        <f>V37+#REF!</f>
        <v>#REF!</v>
      </c>
      <c r="X37" s="154" t="e">
        <f>G37+#REF!+#REF!+#REF!+#REF!+V37+#REF!+#REF!+#REF!+#REF!+#REF!+#REF!</f>
        <v>#REF!</v>
      </c>
    </row>
    <row r="38" spans="1:24" hidden="1" x14ac:dyDescent="0.25">
      <c r="A38" s="142">
        <v>13</v>
      </c>
      <c r="B38" s="147" t="e">
        <f>#REF!</f>
        <v>#REF!</v>
      </c>
      <c r="C38" s="155"/>
      <c r="D38" s="149" t="e">
        <f t="shared" si="23"/>
        <v>#REF!</v>
      </c>
      <c r="E38" s="150" t="e">
        <f>#REF!</f>
        <v>#REF!</v>
      </c>
      <c r="F38" s="151" t="e">
        <f t="shared" si="24"/>
        <v>#REF!</v>
      </c>
      <c r="G38" s="152">
        <v>0.2</v>
      </c>
      <c r="H38" s="153" t="e">
        <f>G38+#REF!</f>
        <v>#REF!</v>
      </c>
      <c r="I38" s="557"/>
      <c r="J38" s="557"/>
      <c r="K38" s="557"/>
      <c r="L38" s="557"/>
      <c r="M38" s="557"/>
      <c r="N38" s="557"/>
      <c r="O38" s="557"/>
      <c r="P38" s="557"/>
      <c r="Q38" s="557"/>
      <c r="R38" s="557"/>
      <c r="S38" s="557"/>
      <c r="T38" s="557"/>
      <c r="U38" s="151" t="e">
        <f t="shared" si="25"/>
        <v>#REF!</v>
      </c>
      <c r="V38" s="152">
        <v>0</v>
      </c>
      <c r="W38" s="153" t="e">
        <f>V38+#REF!</f>
        <v>#REF!</v>
      </c>
      <c r="X38" s="154" t="e">
        <f>G38+#REF!+#REF!+#REF!+#REF!+V38+#REF!+#REF!+#REF!+#REF!+#REF!+#REF!</f>
        <v>#REF!</v>
      </c>
    </row>
    <row r="39" spans="1:24" hidden="1" x14ac:dyDescent="0.25">
      <c r="A39" s="142">
        <v>14</v>
      </c>
      <c r="B39" s="147" t="e">
        <f>#REF!</f>
        <v>#REF!</v>
      </c>
      <c r="C39" s="155"/>
      <c r="D39" s="149" t="e">
        <f t="shared" si="23"/>
        <v>#REF!</v>
      </c>
      <c r="E39" s="150" t="e">
        <f>#REF!</f>
        <v>#REF!</v>
      </c>
      <c r="F39" s="151" t="e">
        <f t="shared" si="24"/>
        <v>#REF!</v>
      </c>
      <c r="G39" s="152">
        <v>0</v>
      </c>
      <c r="H39" s="153" t="e">
        <f>G39+#REF!</f>
        <v>#REF!</v>
      </c>
      <c r="I39" s="557"/>
      <c r="J39" s="557"/>
      <c r="K39" s="557"/>
      <c r="L39" s="557"/>
      <c r="M39" s="557"/>
      <c r="N39" s="557"/>
      <c r="O39" s="557"/>
      <c r="P39" s="557"/>
      <c r="Q39" s="557"/>
      <c r="R39" s="557"/>
      <c r="S39" s="557"/>
      <c r="T39" s="557"/>
      <c r="U39" s="151" t="e">
        <f t="shared" si="25"/>
        <v>#REF!</v>
      </c>
      <c r="V39" s="152">
        <v>0</v>
      </c>
      <c r="W39" s="153" t="e">
        <f>V39+#REF!</f>
        <v>#REF!</v>
      </c>
      <c r="X39" s="154" t="e">
        <f>G39+#REF!+#REF!+#REF!+#REF!+V39+#REF!+#REF!+#REF!+#REF!+#REF!+#REF!</f>
        <v>#REF!</v>
      </c>
    </row>
    <row r="40" spans="1:24" hidden="1" x14ac:dyDescent="0.25">
      <c r="A40" s="142">
        <v>15</v>
      </c>
      <c r="B40" s="147" t="e">
        <f>#REF!</f>
        <v>#REF!</v>
      </c>
      <c r="C40" s="155"/>
      <c r="D40" s="149" t="e">
        <f t="shared" si="23"/>
        <v>#REF!</v>
      </c>
      <c r="E40" s="150" t="e">
        <f>#REF!</f>
        <v>#REF!</v>
      </c>
      <c r="F40" s="151" t="e">
        <f t="shared" si="24"/>
        <v>#REF!</v>
      </c>
      <c r="G40" s="152">
        <v>0</v>
      </c>
      <c r="H40" s="153" t="e">
        <f>G40+#REF!</f>
        <v>#REF!</v>
      </c>
      <c r="I40" s="557"/>
      <c r="J40" s="557"/>
      <c r="K40" s="557"/>
      <c r="L40" s="557"/>
      <c r="M40" s="557"/>
      <c r="N40" s="557"/>
      <c r="O40" s="557"/>
      <c r="P40" s="557"/>
      <c r="Q40" s="557"/>
      <c r="R40" s="557"/>
      <c r="S40" s="557"/>
      <c r="T40" s="557"/>
      <c r="U40" s="151" t="e">
        <f t="shared" si="25"/>
        <v>#REF!</v>
      </c>
      <c r="V40" s="152">
        <v>0.5</v>
      </c>
      <c r="W40" s="153" t="e">
        <f>V40+#REF!</f>
        <v>#REF!</v>
      </c>
      <c r="X40" s="154" t="e">
        <f>G40+#REF!+#REF!+#REF!+#REF!+V40+#REF!+#REF!+#REF!+#REF!+#REF!+#REF!</f>
        <v>#REF!</v>
      </c>
    </row>
    <row r="41" spans="1:24" hidden="1" x14ac:dyDescent="0.25">
      <c r="A41" s="142">
        <v>16</v>
      </c>
      <c r="B41" s="147" t="e">
        <f>#REF!</f>
        <v>#REF!</v>
      </c>
      <c r="C41" s="155"/>
      <c r="D41" s="149" t="e">
        <f t="shared" si="23"/>
        <v>#REF!</v>
      </c>
      <c r="E41" s="150" t="e">
        <f>#REF!</f>
        <v>#REF!</v>
      </c>
      <c r="F41" s="151" t="e">
        <f t="shared" si="24"/>
        <v>#REF!</v>
      </c>
      <c r="G41" s="152">
        <v>0</v>
      </c>
      <c r="H41" s="153" t="e">
        <f>G41+#REF!</f>
        <v>#REF!</v>
      </c>
      <c r="I41" s="557"/>
      <c r="J41" s="557"/>
      <c r="K41" s="557"/>
      <c r="L41" s="557"/>
      <c r="M41" s="557"/>
      <c r="N41" s="557"/>
      <c r="O41" s="557"/>
      <c r="P41" s="557"/>
      <c r="Q41" s="557"/>
      <c r="R41" s="557"/>
      <c r="S41" s="557"/>
      <c r="T41" s="557"/>
      <c r="U41" s="151" t="e">
        <f t="shared" si="25"/>
        <v>#REF!</v>
      </c>
      <c r="V41" s="152">
        <v>0.4</v>
      </c>
      <c r="W41" s="153" t="e">
        <f>V41+#REF!</f>
        <v>#REF!</v>
      </c>
      <c r="X41" s="154" t="e">
        <f>G41+#REF!+#REF!+#REF!+#REF!+V41+#REF!+#REF!+#REF!+#REF!+#REF!+#REF!</f>
        <v>#REF!</v>
      </c>
    </row>
    <row r="42" spans="1:24" hidden="1" x14ac:dyDescent="0.25">
      <c r="A42" s="142">
        <v>17</v>
      </c>
      <c r="B42" s="147" t="e">
        <f>#REF!</f>
        <v>#REF!</v>
      </c>
      <c r="C42" s="155"/>
      <c r="D42" s="149" t="e">
        <f t="shared" si="23"/>
        <v>#REF!</v>
      </c>
      <c r="E42" s="150" t="e">
        <f>#REF!</f>
        <v>#REF!</v>
      </c>
      <c r="F42" s="151" t="e">
        <f t="shared" si="24"/>
        <v>#REF!</v>
      </c>
      <c r="G42" s="152">
        <v>0</v>
      </c>
      <c r="H42" s="153" t="e">
        <f>G42+#REF!</f>
        <v>#REF!</v>
      </c>
      <c r="I42" s="557"/>
      <c r="J42" s="557"/>
      <c r="K42" s="557"/>
      <c r="L42" s="557"/>
      <c r="M42" s="557"/>
      <c r="N42" s="557"/>
      <c r="O42" s="557"/>
      <c r="P42" s="557"/>
      <c r="Q42" s="557"/>
      <c r="R42" s="557"/>
      <c r="S42" s="557"/>
      <c r="T42" s="557"/>
      <c r="U42" s="151" t="e">
        <f t="shared" si="25"/>
        <v>#REF!</v>
      </c>
      <c r="V42" s="152">
        <v>0.4</v>
      </c>
      <c r="W42" s="153" t="e">
        <f>V42+#REF!</f>
        <v>#REF!</v>
      </c>
      <c r="X42" s="154" t="e">
        <f>G42+#REF!+#REF!+#REF!+#REF!+V42+#REF!+#REF!+#REF!+#REF!+#REF!+#REF!</f>
        <v>#REF!</v>
      </c>
    </row>
    <row r="43" spans="1:24" hidden="1" x14ac:dyDescent="0.25">
      <c r="A43" s="142">
        <v>18</v>
      </c>
      <c r="B43" s="147" t="e">
        <f>#REF!</f>
        <v>#REF!</v>
      </c>
      <c r="C43" s="155"/>
      <c r="D43" s="149" t="e">
        <f t="shared" si="23"/>
        <v>#REF!</v>
      </c>
      <c r="E43" s="150" t="e">
        <f>#REF!</f>
        <v>#REF!</v>
      </c>
      <c r="F43" s="151" t="e">
        <f t="shared" si="24"/>
        <v>#REF!</v>
      </c>
      <c r="G43" s="152">
        <v>0</v>
      </c>
      <c r="H43" s="153" t="e">
        <f>G43+#REF!</f>
        <v>#REF!</v>
      </c>
      <c r="I43" s="557"/>
      <c r="J43" s="557"/>
      <c r="K43" s="557"/>
      <c r="L43" s="557"/>
      <c r="M43" s="557"/>
      <c r="N43" s="557"/>
      <c r="O43" s="557"/>
      <c r="P43" s="557"/>
      <c r="Q43" s="557"/>
      <c r="R43" s="557"/>
      <c r="S43" s="557"/>
      <c r="T43" s="557"/>
      <c r="U43" s="151" t="e">
        <f t="shared" si="25"/>
        <v>#REF!</v>
      </c>
      <c r="V43" s="152">
        <v>0</v>
      </c>
      <c r="W43" s="153" t="e">
        <f>V43+#REF!</f>
        <v>#REF!</v>
      </c>
      <c r="X43" s="154" t="e">
        <f>G43+#REF!+#REF!+#REF!+#REF!+V43+#REF!+#REF!+#REF!+#REF!+#REF!+#REF!</f>
        <v>#REF!</v>
      </c>
    </row>
    <row r="44" spans="1:24" hidden="1" x14ac:dyDescent="0.25">
      <c r="A44" s="142">
        <v>19</v>
      </c>
      <c r="B44" s="147" t="e">
        <f>#REF!</f>
        <v>#REF!</v>
      </c>
      <c r="C44" s="155"/>
      <c r="D44" s="149" t="e">
        <f t="shared" si="23"/>
        <v>#REF!</v>
      </c>
      <c r="E44" s="150" t="e">
        <f>#REF!</f>
        <v>#REF!</v>
      </c>
      <c r="F44" s="151" t="e">
        <f t="shared" si="24"/>
        <v>#REF!</v>
      </c>
      <c r="G44" s="152">
        <v>0</v>
      </c>
      <c r="H44" s="153" t="e">
        <f>G44+#REF!</f>
        <v>#REF!</v>
      </c>
      <c r="I44" s="557"/>
      <c r="J44" s="557"/>
      <c r="K44" s="557"/>
      <c r="L44" s="557"/>
      <c r="M44" s="557"/>
      <c r="N44" s="557"/>
      <c r="O44" s="557"/>
      <c r="P44" s="557"/>
      <c r="Q44" s="557"/>
      <c r="R44" s="557"/>
      <c r="S44" s="557"/>
      <c r="T44" s="557"/>
      <c r="U44" s="151" t="e">
        <f t="shared" si="25"/>
        <v>#REF!</v>
      </c>
      <c r="V44" s="152">
        <v>0.4</v>
      </c>
      <c r="W44" s="153" t="e">
        <f>V44+#REF!</f>
        <v>#REF!</v>
      </c>
      <c r="X44" s="154" t="e">
        <f>G44+#REF!+#REF!+#REF!+#REF!+V44+#REF!+#REF!+#REF!+#REF!+#REF!+#REF!</f>
        <v>#REF!</v>
      </c>
    </row>
    <row r="45" spans="1:24" hidden="1" x14ac:dyDescent="0.25">
      <c r="A45" s="142">
        <v>20</v>
      </c>
      <c r="B45" s="147" t="e">
        <f>'ORÇAMENTO_N DES'!#REF!</f>
        <v>#REF!</v>
      </c>
      <c r="C45" s="155"/>
      <c r="D45" s="149" t="e">
        <f t="shared" si="23"/>
        <v>#REF!</v>
      </c>
      <c r="E45" s="150" t="e">
        <f>#REF!</f>
        <v>#REF!</v>
      </c>
      <c r="F45" s="151" t="e">
        <f t="shared" si="24"/>
        <v>#REF!</v>
      </c>
      <c r="G45" s="152">
        <v>0</v>
      </c>
      <c r="H45" s="153" t="e">
        <f>G45+#REF!</f>
        <v>#REF!</v>
      </c>
      <c r="I45" s="557"/>
      <c r="J45" s="557"/>
      <c r="K45" s="557"/>
      <c r="L45" s="557"/>
      <c r="M45" s="557"/>
      <c r="N45" s="557"/>
      <c r="O45" s="557"/>
      <c r="P45" s="557"/>
      <c r="Q45" s="557"/>
      <c r="R45" s="557"/>
      <c r="S45" s="557"/>
      <c r="T45" s="557"/>
      <c r="U45" s="151" t="e">
        <f t="shared" si="25"/>
        <v>#REF!</v>
      </c>
      <c r="V45" s="152">
        <v>0.5</v>
      </c>
      <c r="W45" s="153" t="e">
        <f>V45+#REF!</f>
        <v>#REF!</v>
      </c>
      <c r="X45" s="154" t="e">
        <f>G45+#REF!+#REF!+#REF!+#REF!+V45+#REF!+#REF!+#REF!+#REF!+#REF!+#REF!</f>
        <v>#REF!</v>
      </c>
    </row>
    <row r="46" spans="1:24" hidden="1" x14ac:dyDescent="0.25">
      <c r="A46" s="142">
        <v>21</v>
      </c>
      <c r="B46" s="147" t="e">
        <f>'ORÇAMENTO_N DES'!#REF!</f>
        <v>#REF!</v>
      </c>
      <c r="C46" s="155"/>
      <c r="D46" s="149" t="e">
        <f t="shared" si="23"/>
        <v>#REF!</v>
      </c>
      <c r="E46" s="150" t="e">
        <f>#REF!</f>
        <v>#REF!</v>
      </c>
      <c r="F46" s="151" t="e">
        <f t="shared" si="24"/>
        <v>#REF!</v>
      </c>
      <c r="G46" s="152">
        <v>0.2</v>
      </c>
      <c r="H46" s="153" t="e">
        <f>G46+#REF!</f>
        <v>#REF!</v>
      </c>
      <c r="I46" s="557"/>
      <c r="J46" s="557"/>
      <c r="K46" s="557"/>
      <c r="L46" s="557"/>
      <c r="M46" s="557"/>
      <c r="N46" s="557"/>
      <c r="O46" s="557"/>
      <c r="P46" s="557"/>
      <c r="Q46" s="557"/>
      <c r="R46" s="557"/>
      <c r="S46" s="557"/>
      <c r="T46" s="557"/>
      <c r="U46" s="151" t="e">
        <f t="shared" si="25"/>
        <v>#REF!</v>
      </c>
      <c r="V46" s="152">
        <v>0</v>
      </c>
      <c r="W46" s="153" t="e">
        <f>V46+#REF!</f>
        <v>#REF!</v>
      </c>
      <c r="X46" s="154" t="e">
        <f>G46+#REF!+#REF!+#REF!+#REF!+V46+#REF!+#REF!+#REF!+#REF!+#REF!+#REF!</f>
        <v>#REF!</v>
      </c>
    </row>
    <row r="47" spans="1:24" hidden="1" x14ac:dyDescent="0.25">
      <c r="A47" s="142">
        <v>22</v>
      </c>
      <c r="B47" s="147" t="e">
        <f>#REF!</f>
        <v>#REF!</v>
      </c>
      <c r="C47" s="155"/>
      <c r="D47" s="149" t="e">
        <f t="shared" si="23"/>
        <v>#REF!</v>
      </c>
      <c r="E47" s="150" t="e">
        <f>#REF!</f>
        <v>#REF!</v>
      </c>
      <c r="F47" s="151" t="e">
        <f t="shared" si="24"/>
        <v>#REF!</v>
      </c>
      <c r="G47" s="152">
        <v>0</v>
      </c>
      <c r="H47" s="153" t="e">
        <f>G47+#REF!</f>
        <v>#REF!</v>
      </c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7"/>
      <c r="T47" s="557"/>
      <c r="U47" s="151" t="e">
        <f t="shared" si="25"/>
        <v>#REF!</v>
      </c>
      <c r="V47" s="152">
        <v>0.5</v>
      </c>
      <c r="W47" s="153" t="e">
        <f>V47+#REF!</f>
        <v>#REF!</v>
      </c>
      <c r="X47" s="154" t="e">
        <f>G47+#REF!+#REF!+#REF!+#REF!+V47+#REF!+#REF!+#REF!+#REF!+#REF!+#REF!</f>
        <v>#REF!</v>
      </c>
    </row>
    <row r="48" spans="1:24" hidden="1" x14ac:dyDescent="0.25">
      <c r="A48" s="142">
        <v>23</v>
      </c>
      <c r="B48" s="147" t="str">
        <f>'ORÇAMENTO_N DES'!G59</f>
        <v>SERVIÇOS COMPLEMENTARES</v>
      </c>
      <c r="C48" s="155"/>
      <c r="D48" s="149" t="e">
        <f t="shared" si="23"/>
        <v>#REF!</v>
      </c>
      <c r="E48" s="150" t="e">
        <f>#REF!</f>
        <v>#REF!</v>
      </c>
      <c r="F48" s="151" t="e">
        <f t="shared" si="24"/>
        <v>#REF!</v>
      </c>
      <c r="G48" s="152">
        <v>0.15</v>
      </c>
      <c r="H48" s="153" t="e">
        <f>G48+#REF!</f>
        <v>#REF!</v>
      </c>
      <c r="I48" s="557"/>
      <c r="J48" s="557"/>
      <c r="K48" s="557"/>
      <c r="L48" s="557"/>
      <c r="M48" s="557"/>
      <c r="N48" s="557"/>
      <c r="O48" s="557"/>
      <c r="P48" s="557"/>
      <c r="Q48" s="557"/>
      <c r="R48" s="557"/>
      <c r="S48" s="557"/>
      <c r="T48" s="557"/>
      <c r="U48" s="151" t="e">
        <f t="shared" si="25"/>
        <v>#REF!</v>
      </c>
      <c r="V48" s="152">
        <v>0.1</v>
      </c>
      <c r="W48" s="153" t="e">
        <f>V48+#REF!</f>
        <v>#REF!</v>
      </c>
      <c r="X48" s="154" t="e">
        <f>G48+#REF!+#REF!+#REF!+#REF!+V48+#REF!+#REF!+#REF!+#REF!+#REF!+#REF!</f>
        <v>#REF!</v>
      </c>
    </row>
    <row r="49" spans="1:24" hidden="1" x14ac:dyDescent="0.25">
      <c r="A49" s="142">
        <v>24</v>
      </c>
      <c r="B49" s="147" t="e">
        <f>#REF!</f>
        <v>#REF!</v>
      </c>
      <c r="C49" s="155"/>
      <c r="D49" s="149" t="e">
        <f t="shared" si="23"/>
        <v>#REF!</v>
      </c>
      <c r="E49" s="150" t="e">
        <f>#REF!</f>
        <v>#REF!</v>
      </c>
      <c r="F49" s="151" t="e">
        <f t="shared" si="24"/>
        <v>#REF!</v>
      </c>
      <c r="G49" s="152">
        <v>0.03</v>
      </c>
      <c r="H49" s="153" t="e">
        <f>G49+#REF!</f>
        <v>#REF!</v>
      </c>
      <c r="I49" s="557"/>
      <c r="J49" s="557"/>
      <c r="K49" s="557"/>
      <c r="L49" s="557"/>
      <c r="M49" s="557"/>
      <c r="N49" s="557"/>
      <c r="O49" s="557"/>
      <c r="P49" s="557"/>
      <c r="Q49" s="557"/>
      <c r="R49" s="557"/>
      <c r="S49" s="557"/>
      <c r="T49" s="557"/>
      <c r="U49" s="151" t="e">
        <f t="shared" si="25"/>
        <v>#REF!</v>
      </c>
      <c r="V49" s="152">
        <v>0.13</v>
      </c>
      <c r="W49" s="153" t="e">
        <f>V49+#REF!</f>
        <v>#REF!</v>
      </c>
      <c r="X49" s="154" t="e">
        <f>G49+#REF!+#REF!+#REF!+#REF!+V49+#REF!+#REF!+#REF!+#REF!+#REF!+#REF!</f>
        <v>#REF!</v>
      </c>
    </row>
    <row r="50" spans="1:24" hidden="1" x14ac:dyDescent="0.25">
      <c r="A50" s="142">
        <v>25</v>
      </c>
      <c r="B50" s="147" t="e">
        <f>#REF!</f>
        <v>#REF!</v>
      </c>
      <c r="C50" s="155"/>
      <c r="D50" s="149" t="e">
        <f t="shared" si="23"/>
        <v>#REF!</v>
      </c>
      <c r="E50" s="150" t="e">
        <f>#REF!</f>
        <v>#REF!</v>
      </c>
      <c r="F50" s="151" t="e">
        <f t="shared" si="24"/>
        <v>#REF!</v>
      </c>
      <c r="G50" s="152">
        <v>0</v>
      </c>
      <c r="H50" s="153" t="e">
        <f>G50+#REF!</f>
        <v>#REF!</v>
      </c>
      <c r="I50" s="557"/>
      <c r="J50" s="557"/>
      <c r="K50" s="557"/>
      <c r="L50" s="557"/>
      <c r="M50" s="557"/>
      <c r="N50" s="557"/>
      <c r="O50" s="557"/>
      <c r="P50" s="557"/>
      <c r="Q50" s="557"/>
      <c r="R50" s="557"/>
      <c r="S50" s="557"/>
      <c r="T50" s="557"/>
      <c r="U50" s="151" t="e">
        <f t="shared" si="25"/>
        <v>#REF!</v>
      </c>
      <c r="V50" s="152">
        <v>1</v>
      </c>
      <c r="W50" s="153" t="e">
        <f>V50+#REF!</f>
        <v>#REF!</v>
      </c>
      <c r="X50" s="154" t="e">
        <f>G50+#REF!+#REF!+#REF!+#REF!+V50+#REF!+#REF!+#REF!+#REF!+#REF!+#REF!</f>
        <v>#REF!</v>
      </c>
    </row>
    <row r="51" spans="1:24" hidden="1" x14ac:dyDescent="0.25">
      <c r="A51" s="3"/>
      <c r="B51" s="156"/>
      <c r="C51" s="156"/>
      <c r="D51" s="157" t="e">
        <f>SUM(D26:D50)</f>
        <v>#REF!</v>
      </c>
      <c r="E51" s="158" t="e">
        <f>SUM(E26:E50)</f>
        <v>#REF!</v>
      </c>
      <c r="F51" s="159"/>
      <c r="G51" s="160"/>
      <c r="H51" s="161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6"/>
      <c r="V51" s="152"/>
      <c r="W51" s="168"/>
      <c r="X51" s="169"/>
    </row>
    <row r="52" spans="1:24" hidden="1" x14ac:dyDescent="0.25">
      <c r="A52" s="5"/>
      <c r="B52" s="841" t="s">
        <v>8</v>
      </c>
      <c r="C52" s="841"/>
      <c r="D52" s="841"/>
      <c r="E52" s="842"/>
      <c r="F52" s="170" t="e">
        <f>SUM(F26:F50)</f>
        <v>#REF!</v>
      </c>
      <c r="G52" s="171"/>
      <c r="H52" s="172"/>
      <c r="I52" s="558"/>
      <c r="J52" s="558"/>
      <c r="K52" s="558"/>
      <c r="L52" s="558"/>
      <c r="M52" s="558"/>
      <c r="N52" s="558"/>
      <c r="O52" s="558"/>
      <c r="P52" s="558"/>
      <c r="Q52" s="558"/>
      <c r="R52" s="558"/>
      <c r="S52" s="558"/>
      <c r="T52" s="558"/>
      <c r="U52" s="170" t="e">
        <f>SUM(U26:U50)</f>
        <v>#REF!</v>
      </c>
      <c r="V52" s="171"/>
      <c r="W52" s="172"/>
      <c r="X52" s="169"/>
    </row>
    <row r="53" spans="1:24" hidden="1" x14ac:dyDescent="0.25">
      <c r="A53" s="4"/>
      <c r="B53" s="824" t="s">
        <v>9</v>
      </c>
      <c r="C53" s="824"/>
      <c r="D53" s="824"/>
      <c r="E53" s="825"/>
      <c r="F53" s="187" t="e">
        <f>F52+U22</f>
        <v>#REF!</v>
      </c>
      <c r="G53" s="188" t="e">
        <f>F52/$E$51</f>
        <v>#REF!</v>
      </c>
      <c r="H53" s="189" t="e">
        <f>G53+W22</f>
        <v>#REF!</v>
      </c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187" t="e">
        <f>U52+#REF!</f>
        <v>#REF!</v>
      </c>
      <c r="V53" s="188" t="e">
        <f>U52/$E$51</f>
        <v>#REF!</v>
      </c>
      <c r="W53" s="189" t="e">
        <f>V53+#REF!</f>
        <v>#REF!</v>
      </c>
      <c r="X53" s="146"/>
    </row>
    <row r="55" spans="1:24" x14ac:dyDescent="0.25">
      <c r="E55" t="s">
        <v>301</v>
      </c>
    </row>
  </sheetData>
  <mergeCells count="29">
    <mergeCell ref="E9:E10"/>
    <mergeCell ref="A24:A25"/>
    <mergeCell ref="U24:W24"/>
    <mergeCell ref="B21:E21"/>
    <mergeCell ref="B52:E52"/>
    <mergeCell ref="B24:C25"/>
    <mergeCell ref="D24:D25"/>
    <mergeCell ref="E24:E25"/>
    <mergeCell ref="B22:E22"/>
    <mergeCell ref="I9:K9"/>
    <mergeCell ref="L9:N9"/>
    <mergeCell ref="O9:Q9"/>
    <mergeCell ref="R9:T9"/>
    <mergeCell ref="B53:E53"/>
    <mergeCell ref="F24:H24"/>
    <mergeCell ref="C1:X1"/>
    <mergeCell ref="C2:X2"/>
    <mergeCell ref="C3:X3"/>
    <mergeCell ref="A4:X4"/>
    <mergeCell ref="B9:C10"/>
    <mergeCell ref="U7:X8"/>
    <mergeCell ref="B5:H5"/>
    <mergeCell ref="B6:H6"/>
    <mergeCell ref="B7:H7"/>
    <mergeCell ref="B8:H8"/>
    <mergeCell ref="U9:W9"/>
    <mergeCell ref="A9:A10"/>
    <mergeCell ref="F9:H9"/>
    <mergeCell ref="D9:D10"/>
  </mergeCells>
  <phoneticPr fontId="2" type="noConversion"/>
  <conditionalFormatting sqref="G11:G19 V11:V20">
    <cfRule type="cellIs" dxfId="6" priority="25" operator="greaterThan">
      <formula>0</formula>
    </cfRule>
  </conditionalFormatting>
  <conditionalFormatting sqref="G26:G50">
    <cfRule type="cellIs" dxfId="5" priority="19" operator="greaterThan">
      <formula>0</formula>
    </cfRule>
  </conditionalFormatting>
  <conditionalFormatting sqref="J11:J19">
    <cfRule type="cellIs" dxfId="4" priority="4" operator="greaterThan">
      <formula>0</formula>
    </cfRule>
  </conditionalFormatting>
  <conditionalFormatting sqref="M11:M19">
    <cfRule type="cellIs" dxfId="3" priority="3" operator="greaterThan">
      <formula>0</formula>
    </cfRule>
  </conditionalFormatting>
  <conditionalFormatting sqref="P11:P19">
    <cfRule type="cellIs" dxfId="2" priority="2" operator="greaterThan">
      <formula>0</formula>
    </cfRule>
  </conditionalFormatting>
  <conditionalFormatting sqref="S11:S19">
    <cfRule type="cellIs" dxfId="1" priority="1" operator="greaterThan">
      <formula>0</formula>
    </cfRule>
  </conditionalFormatting>
  <conditionalFormatting sqref="V26:V51">
    <cfRule type="cellIs" dxfId="0" priority="14" operator="greaterThan">
      <formula>0</formula>
    </cfRule>
  </conditionalFormatting>
  <pageMargins left="0.7" right="0.7" top="0.75" bottom="0.75" header="0.3" footer="0.3"/>
  <pageSetup paperSize="9" scale="37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79998168889431442"/>
    <pageSetUpPr fitToPage="1"/>
  </sheetPr>
  <dimension ref="A1:L169"/>
  <sheetViews>
    <sheetView workbookViewId="0"/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  <col min="6" max="6" width="15.140625" customWidth="1"/>
  </cols>
  <sheetData>
    <row r="1" spans="1:7" x14ac:dyDescent="0.25">
      <c r="A1" s="24"/>
      <c r="B1" s="190" t="s">
        <v>1</v>
      </c>
      <c r="C1" s="222"/>
      <c r="D1" s="222"/>
      <c r="E1" s="223"/>
    </row>
    <row r="2" spans="1:7" ht="15.75" x14ac:dyDescent="0.25">
      <c r="A2" s="25"/>
      <c r="B2" s="191" t="s">
        <v>89</v>
      </c>
      <c r="C2" s="192"/>
      <c r="D2" s="192"/>
      <c r="E2" s="193"/>
    </row>
    <row r="3" spans="1:7" x14ac:dyDescent="0.25">
      <c r="A3" s="26"/>
      <c r="B3" s="190" t="s">
        <v>942</v>
      </c>
      <c r="C3" s="222"/>
      <c r="D3" s="222"/>
      <c r="E3" s="223"/>
    </row>
    <row r="4" spans="1:7" ht="20.45" customHeight="1" x14ac:dyDescent="0.25">
      <c r="A4" s="594" t="s">
        <v>145</v>
      </c>
      <c r="B4" s="595"/>
      <c r="C4" s="595"/>
      <c r="D4" s="595"/>
      <c r="E4" s="775"/>
    </row>
    <row r="5" spans="1:7" ht="14.45" customHeight="1" x14ac:dyDescent="0.25">
      <c r="A5" s="36" t="s">
        <v>171</v>
      </c>
      <c r="B5" s="204" t="e">
        <f>#REF!</f>
        <v>#REF!</v>
      </c>
      <c r="C5" s="37"/>
      <c r="D5" s="776" t="s">
        <v>45</v>
      </c>
      <c r="E5" s="777"/>
    </row>
    <row r="6" spans="1:7" x14ac:dyDescent="0.25">
      <c r="A6" s="36" t="s">
        <v>2</v>
      </c>
      <c r="B6" s="204" t="e">
        <f>#REF!</f>
        <v>#REF!</v>
      </c>
      <c r="C6" s="225"/>
      <c r="D6" s="226"/>
      <c r="E6" s="67"/>
      <c r="F6" s="35"/>
      <c r="G6" s="194"/>
    </row>
    <row r="7" spans="1:7" ht="14.45" customHeight="1" x14ac:dyDescent="0.25">
      <c r="A7" s="36" t="s">
        <v>3</v>
      </c>
      <c r="B7" s="204" t="str">
        <f>'ORÇAMENTO_N DES'!C8</f>
        <v>RIBAS DO RIO PARDO</v>
      </c>
      <c r="C7" s="37"/>
      <c r="D7" s="605" t="s">
        <v>111</v>
      </c>
      <c r="E7" s="607"/>
    </row>
    <row r="8" spans="1:7" x14ac:dyDescent="0.25">
      <c r="A8" s="30" t="s">
        <v>66</v>
      </c>
      <c r="B8" s="134" t="e">
        <f>#REF!</f>
        <v>#REF!</v>
      </c>
      <c r="C8" s="224"/>
      <c r="D8" s="608"/>
      <c r="E8" s="610"/>
    </row>
    <row r="9" spans="1:7" x14ac:dyDescent="0.25">
      <c r="A9" s="30"/>
      <c r="B9" s="224"/>
      <c r="C9" s="224"/>
      <c r="D9" s="226"/>
      <c r="E9" s="68"/>
      <c r="F9" s="195"/>
      <c r="G9" s="195"/>
    </row>
    <row r="10" spans="1:7" s="40" customFormat="1" ht="14.25" customHeight="1" x14ac:dyDescent="0.2">
      <c r="A10" s="220" t="s">
        <v>146</v>
      </c>
      <c r="B10" s="220" t="s">
        <v>147</v>
      </c>
      <c r="C10" s="220" t="s">
        <v>148</v>
      </c>
      <c r="D10" s="220" t="s">
        <v>149</v>
      </c>
      <c r="E10" s="220" t="s">
        <v>150</v>
      </c>
      <c r="F10" s="70"/>
    </row>
    <row r="11" spans="1:7" s="40" customFormat="1" ht="14.25" customHeight="1" x14ac:dyDescent="0.2">
      <c r="A11" s="69" t="s">
        <v>151</v>
      </c>
      <c r="B11" s="139" t="s">
        <v>398</v>
      </c>
      <c r="C11" s="139" t="s">
        <v>399</v>
      </c>
      <c r="D11" s="221" t="s">
        <v>400</v>
      </c>
      <c r="E11" s="221" t="s">
        <v>401</v>
      </c>
      <c r="F11" s="70"/>
    </row>
    <row r="12" spans="1:7" s="40" customFormat="1" ht="14.25" customHeight="1" x14ac:dyDescent="0.2">
      <c r="A12" s="69" t="s">
        <v>153</v>
      </c>
      <c r="B12" s="139" t="s">
        <v>402</v>
      </c>
      <c r="C12" s="139" t="s">
        <v>403</v>
      </c>
      <c r="D12" s="221" t="s">
        <v>404</v>
      </c>
      <c r="E12" s="221" t="s">
        <v>405</v>
      </c>
      <c r="F12" s="70"/>
    </row>
    <row r="13" spans="1:7" s="40" customFormat="1" ht="12.75" x14ac:dyDescent="0.2">
      <c r="A13" s="69" t="s">
        <v>154</v>
      </c>
      <c r="B13" s="139" t="s">
        <v>406</v>
      </c>
      <c r="C13" s="140" t="s">
        <v>407</v>
      </c>
      <c r="D13" s="221" t="s">
        <v>408</v>
      </c>
      <c r="E13" s="221" t="s">
        <v>409</v>
      </c>
      <c r="F13" s="70"/>
    </row>
    <row r="14" spans="1:7" s="40" customFormat="1" ht="14.25" customHeight="1" x14ac:dyDescent="0.2">
      <c r="A14" s="69" t="s">
        <v>166</v>
      </c>
      <c r="B14" s="139" t="s">
        <v>276</v>
      </c>
      <c r="C14" s="139" t="s">
        <v>277</v>
      </c>
      <c r="D14" s="221" t="s">
        <v>152</v>
      </c>
      <c r="E14" s="221" t="s">
        <v>152</v>
      </c>
      <c r="F14" s="70"/>
    </row>
    <row r="15" spans="1:7" s="40" customFormat="1" ht="14.25" customHeight="1" x14ac:dyDescent="0.2">
      <c r="A15" s="69" t="s">
        <v>167</v>
      </c>
      <c r="B15" s="139" t="s">
        <v>410</v>
      </c>
      <c r="C15" s="139" t="s">
        <v>411</v>
      </c>
      <c r="D15" s="221" t="s">
        <v>152</v>
      </c>
      <c r="E15" s="221" t="s">
        <v>152</v>
      </c>
      <c r="F15" s="70"/>
    </row>
    <row r="16" spans="1:7" s="40" customFormat="1" ht="15" customHeight="1" x14ac:dyDescent="0.2">
      <c r="A16" s="69" t="s">
        <v>168</v>
      </c>
      <c r="B16" s="139" t="s">
        <v>412</v>
      </c>
      <c r="C16" s="139" t="s">
        <v>413</v>
      </c>
      <c r="D16" s="221" t="s">
        <v>414</v>
      </c>
      <c r="E16" s="221" t="s">
        <v>296</v>
      </c>
      <c r="F16" s="70"/>
    </row>
    <row r="17" spans="1:6" s="40" customFormat="1" ht="15" customHeight="1" x14ac:dyDescent="0.2">
      <c r="A17" s="69" t="s">
        <v>169</v>
      </c>
      <c r="B17" s="139" t="s">
        <v>415</v>
      </c>
      <c r="C17" s="139" t="s">
        <v>416</v>
      </c>
      <c r="D17" s="221" t="s">
        <v>152</v>
      </c>
      <c r="E17" s="221" t="s">
        <v>152</v>
      </c>
      <c r="F17" s="70"/>
    </row>
    <row r="18" spans="1:6" s="40" customFormat="1" ht="15" customHeight="1" x14ac:dyDescent="0.2">
      <c r="A18" s="69" t="s">
        <v>244</v>
      </c>
      <c r="B18" s="139" t="s">
        <v>417</v>
      </c>
      <c r="C18" s="139" t="s">
        <v>279</v>
      </c>
      <c r="D18" s="221" t="s">
        <v>152</v>
      </c>
      <c r="E18" s="221" t="s">
        <v>152</v>
      </c>
      <c r="F18" s="70"/>
    </row>
    <row r="19" spans="1:6" s="40" customFormat="1" ht="15" customHeight="1" x14ac:dyDescent="0.2">
      <c r="A19" s="69" t="s">
        <v>245</v>
      </c>
      <c r="B19" s="139" t="s">
        <v>418</v>
      </c>
      <c r="C19" s="139" t="s">
        <v>419</v>
      </c>
      <c r="D19" s="221" t="s">
        <v>152</v>
      </c>
      <c r="E19" s="221" t="s">
        <v>152</v>
      </c>
      <c r="F19" s="70"/>
    </row>
    <row r="20" spans="1:6" s="40" customFormat="1" ht="15" customHeight="1" x14ac:dyDescent="0.2">
      <c r="A20" s="69" t="s">
        <v>246</v>
      </c>
      <c r="B20" s="139" t="s">
        <v>294</v>
      </c>
      <c r="C20" s="139" t="s">
        <v>420</v>
      </c>
      <c r="D20" s="221" t="s">
        <v>295</v>
      </c>
      <c r="E20" s="221" t="s">
        <v>296</v>
      </c>
      <c r="F20" s="70"/>
    </row>
    <row r="21" spans="1:6" s="40" customFormat="1" ht="15" customHeight="1" x14ac:dyDescent="0.2">
      <c r="A21" s="69" t="s">
        <v>247</v>
      </c>
      <c r="B21" s="139" t="s">
        <v>290</v>
      </c>
      <c r="C21" s="139" t="s">
        <v>291</v>
      </c>
      <c r="D21" s="221" t="s">
        <v>292</v>
      </c>
      <c r="E21" s="221" t="s">
        <v>293</v>
      </c>
      <c r="F21" s="70"/>
    </row>
    <row r="22" spans="1:6" s="40" customFormat="1" ht="15" customHeight="1" x14ac:dyDescent="0.2">
      <c r="A22" s="69" t="s">
        <v>248</v>
      </c>
      <c r="B22" s="139" t="s">
        <v>284</v>
      </c>
      <c r="C22" s="139" t="s">
        <v>285</v>
      </c>
      <c r="D22" s="221" t="s">
        <v>286</v>
      </c>
      <c r="E22" s="221" t="s">
        <v>287</v>
      </c>
      <c r="F22" s="70"/>
    </row>
    <row r="23" spans="1:6" s="40" customFormat="1" ht="15" customHeight="1" x14ac:dyDescent="0.2">
      <c r="A23" s="69" t="s">
        <v>269</v>
      </c>
      <c r="B23" s="139" t="s">
        <v>421</v>
      </c>
      <c r="C23" s="139" t="s">
        <v>422</v>
      </c>
      <c r="D23" s="221" t="s">
        <v>423</v>
      </c>
      <c r="E23" s="221" t="s">
        <v>152</v>
      </c>
      <c r="F23" s="70"/>
    </row>
    <row r="24" spans="1:6" s="40" customFormat="1" ht="15" customHeight="1" x14ac:dyDescent="0.2">
      <c r="A24" s="69" t="s">
        <v>270</v>
      </c>
      <c r="B24" s="139" t="s">
        <v>424</v>
      </c>
      <c r="C24" s="139" t="s">
        <v>425</v>
      </c>
      <c r="D24" s="221" t="s">
        <v>426</v>
      </c>
      <c r="E24" s="221" t="s">
        <v>268</v>
      </c>
      <c r="F24" s="70"/>
    </row>
    <row r="25" spans="1:6" s="40" customFormat="1" ht="15" customHeight="1" x14ac:dyDescent="0.2">
      <c r="A25" s="69" t="s">
        <v>271</v>
      </c>
      <c r="B25" s="139" t="s">
        <v>251</v>
      </c>
      <c r="C25" s="139" t="s">
        <v>249</v>
      </c>
      <c r="D25" s="221" t="s">
        <v>250</v>
      </c>
      <c r="E25" s="221" t="s">
        <v>249</v>
      </c>
      <c r="F25" s="70"/>
    </row>
    <row r="26" spans="1:6" s="40" customFormat="1" ht="15" customHeight="1" x14ac:dyDescent="0.2">
      <c r="A26" s="69" t="s">
        <v>272</v>
      </c>
      <c r="B26" s="139" t="s">
        <v>427</v>
      </c>
      <c r="C26" s="139" t="s">
        <v>428</v>
      </c>
      <c r="D26" s="221" t="s">
        <v>429</v>
      </c>
      <c r="E26" s="221" t="s">
        <v>430</v>
      </c>
      <c r="F26" s="70"/>
    </row>
    <row r="27" spans="1:6" s="40" customFormat="1" ht="15" customHeight="1" x14ac:dyDescent="0.2">
      <c r="A27" s="69" t="s">
        <v>273</v>
      </c>
      <c r="B27" s="139" t="s">
        <v>431</v>
      </c>
      <c r="C27" s="139" t="s">
        <v>432</v>
      </c>
      <c r="D27" s="221" t="s">
        <v>433</v>
      </c>
      <c r="E27" s="221" t="s">
        <v>434</v>
      </c>
      <c r="F27" s="70"/>
    </row>
    <row r="28" spans="1:6" s="40" customFormat="1" ht="15" customHeight="1" x14ac:dyDescent="0.2">
      <c r="A28" s="69" t="s">
        <v>274</v>
      </c>
      <c r="B28" s="139" t="s">
        <v>265</v>
      </c>
      <c r="C28" s="139" t="s">
        <v>266</v>
      </c>
      <c r="D28" s="221" t="s">
        <v>435</v>
      </c>
      <c r="E28" s="221" t="s">
        <v>267</v>
      </c>
      <c r="F28" s="70"/>
    </row>
    <row r="29" spans="1:6" s="40" customFormat="1" ht="15" customHeight="1" x14ac:dyDescent="0.2">
      <c r="A29" s="69" t="s">
        <v>275</v>
      </c>
      <c r="B29" s="139" t="s">
        <v>436</v>
      </c>
      <c r="C29" s="139" t="s">
        <v>437</v>
      </c>
      <c r="D29" s="221" t="s">
        <v>438</v>
      </c>
      <c r="E29" s="221" t="s">
        <v>439</v>
      </c>
      <c r="F29" s="70"/>
    </row>
    <row r="30" spans="1:6" s="40" customFormat="1" ht="15" customHeight="1" x14ac:dyDescent="0.2">
      <c r="A30" s="69" t="s">
        <v>278</v>
      </c>
      <c r="B30" s="139" t="s">
        <v>440</v>
      </c>
      <c r="C30" s="139" t="s">
        <v>441</v>
      </c>
      <c r="D30" s="221" t="s">
        <v>442</v>
      </c>
      <c r="E30" s="221" t="s">
        <v>443</v>
      </c>
      <c r="F30" s="70"/>
    </row>
    <row r="31" spans="1:6" s="40" customFormat="1" ht="15" customHeight="1" x14ac:dyDescent="0.2">
      <c r="A31" s="69" t="s">
        <v>280</v>
      </c>
      <c r="B31" s="139" t="s">
        <v>444</v>
      </c>
      <c r="C31" s="139" t="s">
        <v>445</v>
      </c>
      <c r="D31" s="221" t="s">
        <v>446</v>
      </c>
      <c r="E31" s="221" t="s">
        <v>447</v>
      </c>
      <c r="F31" s="70"/>
    </row>
    <row r="32" spans="1:6" s="40" customFormat="1" ht="15" customHeight="1" x14ac:dyDescent="0.2">
      <c r="A32" s="69" t="s">
        <v>281</v>
      </c>
      <c r="B32" s="139" t="s">
        <v>448</v>
      </c>
      <c r="C32" s="139" t="s">
        <v>449</v>
      </c>
      <c r="D32" s="221" t="s">
        <v>450</v>
      </c>
      <c r="E32" s="221" t="s">
        <v>451</v>
      </c>
      <c r="F32" s="70"/>
    </row>
    <row r="33" spans="1:12" s="40" customFormat="1" ht="15" customHeight="1" x14ac:dyDescent="0.2">
      <c r="A33" s="69" t="s">
        <v>282</v>
      </c>
      <c r="B33" s="139" t="s">
        <v>452</v>
      </c>
      <c r="C33" s="139" t="s">
        <v>453</v>
      </c>
      <c r="D33" s="138" t="s">
        <v>454</v>
      </c>
      <c r="E33" s="221" t="s">
        <v>455</v>
      </c>
      <c r="F33" s="70"/>
    </row>
    <row r="34" spans="1:12" s="40" customFormat="1" ht="15" customHeight="1" x14ac:dyDescent="0.2">
      <c r="A34" s="69" t="s">
        <v>283</v>
      </c>
      <c r="B34" s="139" t="s">
        <v>300</v>
      </c>
      <c r="C34" s="139" t="s">
        <v>162</v>
      </c>
      <c r="D34" s="221" t="s">
        <v>152</v>
      </c>
      <c r="E34" s="221" t="s">
        <v>152</v>
      </c>
      <c r="F34" s="70"/>
    </row>
    <row r="35" spans="1:12" s="40" customFormat="1" ht="15" customHeight="1" x14ac:dyDescent="0.2">
      <c r="A35" s="69" t="s">
        <v>288</v>
      </c>
      <c r="B35" s="139" t="s">
        <v>318</v>
      </c>
      <c r="C35" s="139" t="s">
        <v>319</v>
      </c>
      <c r="D35" s="221" t="s">
        <v>320</v>
      </c>
      <c r="E35" s="221" t="s">
        <v>268</v>
      </c>
      <c r="F35" s="70"/>
    </row>
    <row r="36" spans="1:12" s="40" customFormat="1" ht="15" customHeight="1" x14ac:dyDescent="0.2">
      <c r="A36" s="69" t="s">
        <v>289</v>
      </c>
      <c r="B36" s="139" t="s">
        <v>461</v>
      </c>
      <c r="C36" s="139" t="s">
        <v>462</v>
      </c>
      <c r="D36" s="221" t="s">
        <v>152</v>
      </c>
      <c r="E36" s="221" t="s">
        <v>152</v>
      </c>
      <c r="F36" s="70"/>
    </row>
    <row r="37" spans="1:12" s="40" customFormat="1" ht="12.75" x14ac:dyDescent="0.2">
      <c r="A37" s="778"/>
      <c r="B37" s="779"/>
      <c r="C37" s="779"/>
      <c r="D37" s="779"/>
      <c r="E37" s="780"/>
      <c r="F37" s="70"/>
    </row>
    <row r="38" spans="1:12" s="40" customFormat="1" ht="15.75" customHeight="1" x14ac:dyDescent="0.2">
      <c r="A38" s="71" t="s">
        <v>38</v>
      </c>
      <c r="B38" s="72" t="s">
        <v>52</v>
      </c>
      <c r="C38" s="73" t="s">
        <v>39</v>
      </c>
      <c r="D38" s="73" t="s">
        <v>155</v>
      </c>
      <c r="E38" s="73" t="s">
        <v>156</v>
      </c>
      <c r="L38" s="40">
        <f>6300/7</f>
        <v>900</v>
      </c>
    </row>
    <row r="39" spans="1:12" s="40" customFormat="1" ht="31.5" x14ac:dyDescent="0.2">
      <c r="A39" s="74" t="s">
        <v>157</v>
      </c>
      <c r="B39" s="75" t="s">
        <v>389</v>
      </c>
      <c r="C39" s="76" t="s">
        <v>144</v>
      </c>
      <c r="D39" s="77">
        <v>44462</v>
      </c>
      <c r="E39" s="78">
        <f>IF(SUM(D41:E43)&lt;&gt;0,MEDIAN(D41:E43),"")</f>
        <v>0.98</v>
      </c>
    </row>
    <row r="40" spans="1:12" s="40" customFormat="1" ht="12.75" x14ac:dyDescent="0.2">
      <c r="A40" s="79" t="s">
        <v>159</v>
      </c>
      <c r="B40" s="762" t="s">
        <v>160</v>
      </c>
      <c r="C40" s="762"/>
      <c r="D40" s="763" t="s">
        <v>145</v>
      </c>
      <c r="E40" s="763"/>
    </row>
    <row r="41" spans="1:12" s="40" customFormat="1" ht="12.75" x14ac:dyDescent="0.2">
      <c r="A41" s="69" t="s">
        <v>151</v>
      </c>
      <c r="B41" s="767" t="str">
        <f>VLOOKUP(A41,$A$11:$E$36,3,0)</f>
        <v>PROJETO X</v>
      </c>
      <c r="C41" s="767"/>
      <c r="D41" s="764">
        <v>0.98</v>
      </c>
      <c r="E41" s="764"/>
      <c r="H41" s="40" t="e">
        <f>D43/#REF!</f>
        <v>#REF!</v>
      </c>
    </row>
    <row r="42" spans="1:12" s="40" customFormat="1" ht="12.75" x14ac:dyDescent="0.2">
      <c r="A42" s="69" t="s">
        <v>153</v>
      </c>
      <c r="B42" s="768" t="str">
        <f>VLOOKUP(A42,$A$11:$E$36,3,0)</f>
        <v>SP BLINDAGEM RADIOLÓGICA</v>
      </c>
      <c r="C42" s="769"/>
      <c r="D42" s="761">
        <v>0.9</v>
      </c>
      <c r="E42" s="761"/>
    </row>
    <row r="43" spans="1:12" s="40" customFormat="1" ht="12.75" x14ac:dyDescent="0.2">
      <c r="A43" s="69" t="s">
        <v>154</v>
      </c>
      <c r="B43" s="765" t="str">
        <f>VLOOKUP(A43,$A$11:$E$36,3,0)</f>
        <v>ION INDUSTRIAL</v>
      </c>
      <c r="C43" s="766"/>
      <c r="D43" s="759">
        <v>1</v>
      </c>
      <c r="E43" s="759"/>
    </row>
    <row r="44" spans="1:12" s="40" customFormat="1" ht="12.75" x14ac:dyDescent="0.2">
      <c r="A44" s="80"/>
      <c r="B44" s="81"/>
      <c r="C44" s="81"/>
      <c r="D44" s="82"/>
      <c r="E44" s="83"/>
    </row>
    <row r="45" spans="1:12" s="40" customFormat="1" ht="12.75" x14ac:dyDescent="0.2">
      <c r="A45" s="71" t="s">
        <v>38</v>
      </c>
      <c r="B45" s="72" t="s">
        <v>52</v>
      </c>
      <c r="C45" s="73" t="s">
        <v>39</v>
      </c>
      <c r="D45" s="73" t="s">
        <v>155</v>
      </c>
      <c r="E45" s="73" t="s">
        <v>156</v>
      </c>
    </row>
    <row r="46" spans="1:12" s="40" customFormat="1" ht="31.5" x14ac:dyDescent="0.2">
      <c r="A46" s="74" t="s">
        <v>161</v>
      </c>
      <c r="B46" s="75" t="s">
        <v>390</v>
      </c>
      <c r="C46" s="76" t="s">
        <v>113</v>
      </c>
      <c r="D46" s="77">
        <v>44462</v>
      </c>
      <c r="E46" s="78">
        <f>IF(SUM(D48:E50)&lt;&gt;0,MEDIAN(D48:E50),"")</f>
        <v>3665.47</v>
      </c>
    </row>
    <row r="47" spans="1:12" s="40" customFormat="1" ht="12.75" x14ac:dyDescent="0.2">
      <c r="A47" s="79" t="s">
        <v>159</v>
      </c>
      <c r="B47" s="762" t="s">
        <v>160</v>
      </c>
      <c r="C47" s="762"/>
      <c r="D47" s="763" t="s">
        <v>145</v>
      </c>
      <c r="E47" s="763"/>
    </row>
    <row r="48" spans="1:12" s="40" customFormat="1" ht="12.75" x14ac:dyDescent="0.2">
      <c r="A48" s="69" t="s">
        <v>151</v>
      </c>
      <c r="B48" s="767" t="str">
        <f>VLOOKUP(A48,$A$11:$E$36,3,0)</f>
        <v>PROJETO X</v>
      </c>
      <c r="C48" s="767"/>
      <c r="D48" s="764">
        <v>3475</v>
      </c>
      <c r="E48" s="764"/>
    </row>
    <row r="49" spans="1:7" s="40" customFormat="1" ht="12.75" x14ac:dyDescent="0.2">
      <c r="A49" s="69" t="s">
        <v>166</v>
      </c>
      <c r="B49" s="768" t="str">
        <f>VLOOKUP(A49,$A$11:$E$36,3,0)</f>
        <v>AMERICANAS</v>
      </c>
      <c r="C49" s="769"/>
      <c r="D49" s="761">
        <v>3846.91</v>
      </c>
      <c r="E49" s="761"/>
    </row>
    <row r="50" spans="1:7" s="40" customFormat="1" ht="12.75" x14ac:dyDescent="0.2">
      <c r="A50" s="69" t="s">
        <v>167</v>
      </c>
      <c r="B50" s="765" t="str">
        <f>VLOOKUP(A50,$A$11:$E$36,3,0)</f>
        <v>MAGAZINE LUIZA</v>
      </c>
      <c r="C50" s="766"/>
      <c r="D50" s="759">
        <v>3665.47</v>
      </c>
      <c r="E50" s="759"/>
    </row>
    <row r="51" spans="1:7" s="40" customFormat="1" ht="12.75" x14ac:dyDescent="0.2">
      <c r="A51" s="227"/>
      <c r="B51" s="228"/>
      <c r="C51" s="229"/>
      <c r="D51" s="230"/>
      <c r="E51" s="230"/>
    </row>
    <row r="52" spans="1:7" s="40" customFormat="1" ht="12.75" x14ac:dyDescent="0.2">
      <c r="A52" s="71" t="s">
        <v>38</v>
      </c>
      <c r="B52" s="72" t="s">
        <v>52</v>
      </c>
      <c r="C52" s="73" t="s">
        <v>39</v>
      </c>
      <c r="D52" s="73" t="s">
        <v>155</v>
      </c>
      <c r="E52" s="73" t="s">
        <v>156</v>
      </c>
    </row>
    <row r="53" spans="1:7" s="40" customFormat="1" ht="31.5" x14ac:dyDescent="0.2">
      <c r="A53" s="74" t="s">
        <v>163</v>
      </c>
      <c r="B53" s="75" t="s">
        <v>396</v>
      </c>
      <c r="C53" s="76" t="s">
        <v>113</v>
      </c>
      <c r="D53" s="77">
        <v>44462</v>
      </c>
      <c r="E53" s="78">
        <f>IF(SUM(D55:E57)&lt;&gt;0,MEDIAN(D55:E57),"")</f>
        <v>3665.47</v>
      </c>
    </row>
    <row r="54" spans="1:7" s="40" customFormat="1" ht="12.75" x14ac:dyDescent="0.2">
      <c r="A54" s="79" t="s">
        <v>159</v>
      </c>
      <c r="B54" s="762" t="s">
        <v>160</v>
      </c>
      <c r="C54" s="762"/>
      <c r="D54" s="763" t="s">
        <v>145</v>
      </c>
      <c r="E54" s="763"/>
    </row>
    <row r="55" spans="1:7" s="40" customFormat="1" ht="12.75" x14ac:dyDescent="0.2">
      <c r="A55" s="69" t="s">
        <v>151</v>
      </c>
      <c r="B55" s="767" t="str">
        <f>VLOOKUP(A55,$A$11:$E$36,3,0)</f>
        <v>PROJETO X</v>
      </c>
      <c r="C55" s="767"/>
      <c r="D55" s="764">
        <v>3475</v>
      </c>
      <c r="E55" s="764"/>
    </row>
    <row r="56" spans="1:7" s="40" customFormat="1" ht="12.75" x14ac:dyDescent="0.2">
      <c r="A56" s="69" t="s">
        <v>166</v>
      </c>
      <c r="B56" s="768" t="str">
        <f>VLOOKUP(A56,$A$11:$E$36,3,0)</f>
        <v>AMERICANAS</v>
      </c>
      <c r="C56" s="769"/>
      <c r="D56" s="761">
        <v>3846.91</v>
      </c>
      <c r="E56" s="761"/>
    </row>
    <row r="57" spans="1:7" s="40" customFormat="1" ht="12.75" x14ac:dyDescent="0.2">
      <c r="A57" s="69" t="s">
        <v>167</v>
      </c>
      <c r="B57" s="765" t="str">
        <f>VLOOKUP(A57,$A$11:$E$36,3,0)</f>
        <v>MAGAZINE LUIZA</v>
      </c>
      <c r="C57" s="766"/>
      <c r="D57" s="759">
        <v>3665.47</v>
      </c>
      <c r="E57" s="759"/>
    </row>
    <row r="58" spans="1:7" s="40" customFormat="1" ht="12.75" x14ac:dyDescent="0.2">
      <c r="A58" s="80"/>
      <c r="B58" s="81"/>
      <c r="C58" s="81"/>
      <c r="D58" s="82"/>
      <c r="E58" s="83"/>
    </row>
    <row r="59" spans="1:7" s="40" customFormat="1" ht="12.75" x14ac:dyDescent="0.2">
      <c r="A59" s="71" t="s">
        <v>38</v>
      </c>
      <c r="B59" s="72" t="s">
        <v>52</v>
      </c>
      <c r="C59" s="73" t="s">
        <v>39</v>
      </c>
      <c r="D59" s="73" t="s">
        <v>155</v>
      </c>
      <c r="E59" s="73" t="s">
        <v>156</v>
      </c>
    </row>
    <row r="60" spans="1:7" s="40" customFormat="1" ht="56.25" customHeight="1" x14ac:dyDescent="0.2">
      <c r="A60" s="74" t="s">
        <v>164</v>
      </c>
      <c r="B60" s="75" t="s">
        <v>391</v>
      </c>
      <c r="C60" s="76" t="s">
        <v>143</v>
      </c>
      <c r="D60" s="77">
        <v>44462</v>
      </c>
      <c r="E60" s="78">
        <f>IF(SUM(D62:E64)&lt;&gt;0,MEDIAN(D62:E64),"")</f>
        <v>4064</v>
      </c>
      <c r="G60" s="40" t="s">
        <v>301</v>
      </c>
    </row>
    <row r="61" spans="1:7" s="40" customFormat="1" ht="12.75" x14ac:dyDescent="0.2">
      <c r="A61" s="79" t="s">
        <v>159</v>
      </c>
      <c r="B61" s="762" t="s">
        <v>160</v>
      </c>
      <c r="C61" s="762"/>
      <c r="D61" s="763" t="s">
        <v>145</v>
      </c>
      <c r="E61" s="763"/>
    </row>
    <row r="62" spans="1:7" s="40" customFormat="1" ht="12.75" x14ac:dyDescent="0.2">
      <c r="A62" s="69" t="s">
        <v>151</v>
      </c>
      <c r="B62" s="767" t="str">
        <f>VLOOKUP(A62,$A$11:$E$36,3,0)</f>
        <v>PROJETO X</v>
      </c>
      <c r="C62" s="767"/>
      <c r="D62" s="764">
        <v>4064</v>
      </c>
      <c r="E62" s="764"/>
    </row>
    <row r="63" spans="1:7" s="40" customFormat="1" ht="12.75" x14ac:dyDescent="0.2">
      <c r="A63" s="69" t="s">
        <v>153</v>
      </c>
      <c r="B63" s="768" t="str">
        <f>VLOOKUP(A63,$A$11:$E$36,3,0)</f>
        <v>SP BLINDAGEM RADIOLÓGICA</v>
      </c>
      <c r="C63" s="769"/>
      <c r="D63" s="761">
        <v>3477</v>
      </c>
      <c r="E63" s="761"/>
    </row>
    <row r="64" spans="1:7" s="40" customFormat="1" ht="12.75" x14ac:dyDescent="0.2">
      <c r="A64" s="197" t="s">
        <v>168</v>
      </c>
      <c r="B64" s="765" t="str">
        <f>VLOOKUP(A64,$A$11:$E$36,3,0)</f>
        <v>ENGEBLIND</v>
      </c>
      <c r="C64" s="766"/>
      <c r="D64" s="759">
        <v>6490</v>
      </c>
      <c r="E64" s="759"/>
    </row>
    <row r="65" spans="1:10" s="40" customFormat="1" ht="12.75" x14ac:dyDescent="0.2">
      <c r="A65" s="80"/>
      <c r="B65" s="81"/>
      <c r="C65" s="81"/>
      <c r="D65" s="82"/>
      <c r="E65" s="83"/>
    </row>
    <row r="66" spans="1:10" s="40" customFormat="1" ht="12.75" x14ac:dyDescent="0.2">
      <c r="A66" s="71" t="s">
        <v>38</v>
      </c>
      <c r="B66" s="72" t="s">
        <v>52</v>
      </c>
      <c r="C66" s="73" t="s">
        <v>39</v>
      </c>
      <c r="D66" s="73" t="s">
        <v>155</v>
      </c>
      <c r="E66" s="73" t="s">
        <v>156</v>
      </c>
    </row>
    <row r="67" spans="1:10" s="40" customFormat="1" ht="52.5" x14ac:dyDescent="0.2">
      <c r="A67" s="74" t="s">
        <v>165</v>
      </c>
      <c r="B67" s="199" t="s">
        <v>392</v>
      </c>
      <c r="C67" s="76" t="s">
        <v>143</v>
      </c>
      <c r="D67" s="77">
        <v>44462</v>
      </c>
      <c r="E67" s="78">
        <f>IF(SUM(D69:E71)&lt;&gt;0,MEDIAN(D69:E71),"")</f>
        <v>5400</v>
      </c>
    </row>
    <row r="68" spans="1:10" s="40" customFormat="1" ht="12.75" x14ac:dyDescent="0.2">
      <c r="A68" s="79" t="s">
        <v>159</v>
      </c>
      <c r="B68" s="762" t="s">
        <v>160</v>
      </c>
      <c r="C68" s="762"/>
      <c r="D68" s="763" t="s">
        <v>145</v>
      </c>
      <c r="E68" s="763"/>
    </row>
    <row r="69" spans="1:10" s="40" customFormat="1" ht="12.75" x14ac:dyDescent="0.2">
      <c r="A69" s="69" t="s">
        <v>151</v>
      </c>
      <c r="B69" s="767" t="str">
        <f>VLOOKUP(A69,$A$11:$E$36,3,0)</f>
        <v>PROJETO X</v>
      </c>
      <c r="C69" s="767"/>
      <c r="D69" s="764">
        <v>5400</v>
      </c>
      <c r="E69" s="764"/>
    </row>
    <row r="70" spans="1:10" s="40" customFormat="1" ht="12.75" x14ac:dyDescent="0.2">
      <c r="A70" s="69" t="s">
        <v>153</v>
      </c>
      <c r="B70" s="768" t="str">
        <f>VLOOKUP(A70,$A$11:$E$36,3,0)</f>
        <v>SP BLINDAGEM RADIOLÓGICA</v>
      </c>
      <c r="C70" s="769"/>
      <c r="D70" s="761">
        <v>3697</v>
      </c>
      <c r="E70" s="761"/>
    </row>
    <row r="71" spans="1:10" s="40" customFormat="1" ht="12.75" x14ac:dyDescent="0.2">
      <c r="A71" s="69" t="s">
        <v>168</v>
      </c>
      <c r="B71" s="765" t="str">
        <f>VLOOKUP(A71,$A$11:$E$36,3,0)</f>
        <v>ENGEBLIND</v>
      </c>
      <c r="C71" s="766"/>
      <c r="D71" s="759">
        <v>6690</v>
      </c>
      <c r="E71" s="759"/>
      <c r="J71" s="40">
        <f>2</f>
        <v>2</v>
      </c>
    </row>
    <row r="72" spans="1:10" s="40" customFormat="1" ht="12.75" x14ac:dyDescent="0.2">
      <c r="A72" s="80"/>
      <c r="B72" s="81"/>
      <c r="C72" s="81"/>
      <c r="D72" s="82"/>
      <c r="E72" s="83"/>
    </row>
    <row r="73" spans="1:10" s="40" customFormat="1" ht="12.75" x14ac:dyDescent="0.2">
      <c r="A73" s="71" t="s">
        <v>38</v>
      </c>
      <c r="B73" s="72" t="s">
        <v>52</v>
      </c>
      <c r="C73" s="73" t="s">
        <v>39</v>
      </c>
      <c r="D73" s="73" t="s">
        <v>155</v>
      </c>
      <c r="E73" s="73" t="s">
        <v>156</v>
      </c>
    </row>
    <row r="74" spans="1:10" s="40" customFormat="1" ht="32.25" customHeight="1" x14ac:dyDescent="0.2">
      <c r="A74" s="74" t="s">
        <v>302</v>
      </c>
      <c r="B74" s="75" t="s">
        <v>387</v>
      </c>
      <c r="C74" s="76" t="s">
        <v>113</v>
      </c>
      <c r="D74" s="77">
        <v>44463</v>
      </c>
      <c r="E74" s="78">
        <f>IF(SUM(D76:E78)&lt;&gt;0,MEDIAN(D76:E78),"")</f>
        <v>2209.16</v>
      </c>
    </row>
    <row r="75" spans="1:10" s="40" customFormat="1" ht="12.75" x14ac:dyDescent="0.2">
      <c r="A75" s="79" t="s">
        <v>159</v>
      </c>
      <c r="B75" s="762" t="s">
        <v>160</v>
      </c>
      <c r="C75" s="762"/>
      <c r="D75" s="763" t="s">
        <v>145</v>
      </c>
      <c r="E75" s="763"/>
    </row>
    <row r="76" spans="1:10" s="40" customFormat="1" ht="12.75" x14ac:dyDescent="0.2">
      <c r="A76" s="196" t="s">
        <v>169</v>
      </c>
      <c r="B76" s="767" t="str">
        <f>VLOOKUP(A76,$A$11:$E$36,3,0)</f>
        <v>SERTÃO</v>
      </c>
      <c r="C76" s="767"/>
      <c r="D76" s="764">
        <v>2209.16</v>
      </c>
      <c r="E76" s="764"/>
    </row>
    <row r="77" spans="1:10" s="40" customFormat="1" ht="12.75" x14ac:dyDescent="0.2">
      <c r="A77" s="69" t="s">
        <v>244</v>
      </c>
      <c r="B77" s="768" t="str">
        <f>VLOOKUP(A77,$A$11:$E$36,3,0)</f>
        <v>LEROY MERLIN</v>
      </c>
      <c r="C77" s="769"/>
      <c r="D77" s="761">
        <v>2739.9</v>
      </c>
      <c r="E77" s="761"/>
    </row>
    <row r="78" spans="1:10" s="40" customFormat="1" ht="12.75" x14ac:dyDescent="0.2">
      <c r="A78" s="197" t="s">
        <v>245</v>
      </c>
      <c r="B78" s="765" t="str">
        <f>VLOOKUP(A78,$A$11:$E$36,3,0)</f>
        <v>ACQUAFORT</v>
      </c>
      <c r="C78" s="766"/>
      <c r="D78" s="759">
        <v>1979.9</v>
      </c>
      <c r="E78" s="759"/>
    </row>
    <row r="79" spans="1:10" s="40" customFormat="1" ht="12.75" x14ac:dyDescent="0.2">
      <c r="A79" s="202"/>
      <c r="D79" s="84"/>
      <c r="E79" s="203"/>
    </row>
    <row r="80" spans="1:10" s="40" customFormat="1" ht="12.75" x14ac:dyDescent="0.2">
      <c r="A80" s="71" t="s">
        <v>38</v>
      </c>
      <c r="B80" s="72" t="s">
        <v>52</v>
      </c>
      <c r="C80" s="73" t="s">
        <v>39</v>
      </c>
      <c r="D80" s="73" t="s">
        <v>155</v>
      </c>
      <c r="E80" s="73" t="s">
        <v>156</v>
      </c>
    </row>
    <row r="81" spans="1:5" s="40" customFormat="1" ht="12.75" x14ac:dyDescent="0.2">
      <c r="A81" s="74" t="s">
        <v>303</v>
      </c>
      <c r="B81" s="75" t="s">
        <v>255</v>
      </c>
      <c r="C81" s="76" t="s">
        <v>113</v>
      </c>
      <c r="D81" s="77">
        <v>44463</v>
      </c>
      <c r="E81" s="78">
        <f>IF(SUM(D83:E85)&lt;&gt;0,MEDIAN(D83:E85),"")</f>
        <v>38.130000000000003</v>
      </c>
    </row>
    <row r="82" spans="1:5" s="40" customFormat="1" ht="12.75" x14ac:dyDescent="0.2">
      <c r="A82" s="79" t="s">
        <v>159</v>
      </c>
      <c r="B82" s="762" t="s">
        <v>160</v>
      </c>
      <c r="C82" s="762"/>
      <c r="D82" s="763" t="s">
        <v>145</v>
      </c>
      <c r="E82" s="763"/>
    </row>
    <row r="83" spans="1:5" s="40" customFormat="1" ht="12.75" x14ac:dyDescent="0.2">
      <c r="A83" s="196" t="s">
        <v>166</v>
      </c>
      <c r="B83" s="767" t="str">
        <f>VLOOKUP(A83,$A$11:$E$36,3,0)</f>
        <v>AMERICANAS</v>
      </c>
      <c r="C83" s="767"/>
      <c r="D83" s="764">
        <v>44.85</v>
      </c>
      <c r="E83" s="764"/>
    </row>
    <row r="84" spans="1:5" s="40" customFormat="1" ht="12.75" x14ac:dyDescent="0.2">
      <c r="A84" s="69" t="s">
        <v>167</v>
      </c>
      <c r="B84" s="768" t="str">
        <f>VLOOKUP(A84,$A$11:$E$36,3,0)</f>
        <v>MAGAZINE LUIZA</v>
      </c>
      <c r="C84" s="769"/>
      <c r="D84" s="761">
        <v>38.130000000000003</v>
      </c>
      <c r="E84" s="761"/>
    </row>
    <row r="85" spans="1:5" s="40" customFormat="1" ht="12.75" x14ac:dyDescent="0.2">
      <c r="A85" s="197" t="s">
        <v>244</v>
      </c>
      <c r="B85" s="765" t="str">
        <f>VLOOKUP(A85,$A$11:$E$36,3,0)</f>
        <v>LEROY MERLIN</v>
      </c>
      <c r="C85" s="766"/>
      <c r="D85" s="759">
        <v>35.840000000000003</v>
      </c>
      <c r="E85" s="759"/>
    </row>
    <row r="86" spans="1:5" s="40" customFormat="1" ht="12.75" x14ac:dyDescent="0.2">
      <c r="A86" s="202"/>
      <c r="D86" s="84"/>
      <c r="E86" s="203"/>
    </row>
    <row r="87" spans="1:5" s="40" customFormat="1" ht="12.75" x14ac:dyDescent="0.2">
      <c r="A87" s="71" t="s">
        <v>38</v>
      </c>
      <c r="B87" s="72" t="s">
        <v>52</v>
      </c>
      <c r="C87" s="73" t="s">
        <v>39</v>
      </c>
      <c r="D87" s="73" t="s">
        <v>155</v>
      </c>
      <c r="E87" s="73" t="s">
        <v>156</v>
      </c>
    </row>
    <row r="88" spans="1:5" s="40" customFormat="1" ht="12.75" x14ac:dyDescent="0.2">
      <c r="A88" s="74" t="s">
        <v>304</v>
      </c>
      <c r="B88" s="75" t="s">
        <v>456</v>
      </c>
      <c r="C88" s="76" t="s">
        <v>113</v>
      </c>
      <c r="D88" s="77">
        <v>44418</v>
      </c>
      <c r="E88" s="78">
        <f>IF(SUM(D90:E92)&lt;&gt;0,MEDIAN(D90:E92),"")</f>
        <v>139.9</v>
      </c>
    </row>
    <row r="89" spans="1:5" s="40" customFormat="1" ht="12.75" x14ac:dyDescent="0.2">
      <c r="A89" s="79" t="s">
        <v>159</v>
      </c>
      <c r="B89" s="762" t="s">
        <v>160</v>
      </c>
      <c r="C89" s="762"/>
      <c r="D89" s="763" t="s">
        <v>145</v>
      </c>
      <c r="E89" s="763"/>
    </row>
    <row r="90" spans="1:5" s="40" customFormat="1" ht="12.75" x14ac:dyDescent="0.2">
      <c r="A90" s="196" t="s">
        <v>246</v>
      </c>
      <c r="B90" s="767" t="str">
        <f>VLOOKUP(A90,$A$11:$E$36,3,0)</f>
        <v>ELETROLED'S</v>
      </c>
      <c r="C90" s="767"/>
      <c r="D90" s="764">
        <v>149.9</v>
      </c>
      <c r="E90" s="764"/>
    </row>
    <row r="91" spans="1:5" s="40" customFormat="1" ht="12.75" x14ac:dyDescent="0.2">
      <c r="A91" s="69" t="s">
        <v>247</v>
      </c>
      <c r="B91" s="768" t="str">
        <f>VLOOKUP(A91,$A$11:$E$36,3,0)</f>
        <v>MULTILED</v>
      </c>
      <c r="C91" s="769"/>
      <c r="D91" s="761">
        <v>139.9</v>
      </c>
      <c r="E91" s="761"/>
    </row>
    <row r="92" spans="1:5" s="40" customFormat="1" ht="12.75" x14ac:dyDescent="0.2">
      <c r="A92" s="197" t="s">
        <v>248</v>
      </c>
      <c r="B92" s="765" t="str">
        <f>VLOOKUP(A92,$A$11:$E$36,3,0)</f>
        <v>CONTRAFO</v>
      </c>
      <c r="C92" s="766"/>
      <c r="D92" s="759">
        <v>115.98</v>
      </c>
      <c r="E92" s="759"/>
    </row>
    <row r="93" spans="1:5" s="40" customFormat="1" ht="12.75" x14ac:dyDescent="0.2">
      <c r="A93" s="202"/>
      <c r="D93" s="84"/>
      <c r="E93" s="203"/>
    </row>
    <row r="94" spans="1:5" s="40" customFormat="1" ht="12.75" x14ac:dyDescent="0.2">
      <c r="A94" s="71" t="s">
        <v>38</v>
      </c>
      <c r="B94" s="72" t="s">
        <v>52</v>
      </c>
      <c r="C94" s="73" t="s">
        <v>39</v>
      </c>
      <c r="D94" s="73" t="s">
        <v>155</v>
      </c>
      <c r="E94" s="73" t="s">
        <v>156</v>
      </c>
    </row>
    <row r="95" spans="1:5" s="40" customFormat="1" ht="21" x14ac:dyDescent="0.2">
      <c r="A95" s="74" t="s">
        <v>305</v>
      </c>
      <c r="B95" s="75" t="s">
        <v>457</v>
      </c>
      <c r="C95" s="76" t="s">
        <v>113</v>
      </c>
      <c r="D95" s="77">
        <v>44464</v>
      </c>
      <c r="E95" s="78">
        <f>IF(SUM(D97:E99)&lt;&gt;0,MEDIAN(D97:E99),"")</f>
        <v>218.77</v>
      </c>
    </row>
    <row r="96" spans="1:5" s="40" customFormat="1" ht="12.75" x14ac:dyDescent="0.2">
      <c r="A96" s="79" t="s">
        <v>159</v>
      </c>
      <c r="B96" s="762" t="s">
        <v>160</v>
      </c>
      <c r="C96" s="762"/>
      <c r="D96" s="763" t="s">
        <v>145</v>
      </c>
      <c r="E96" s="763"/>
    </row>
    <row r="97" spans="1:5" s="40" customFormat="1" ht="12.75" x14ac:dyDescent="0.2">
      <c r="A97" s="196" t="s">
        <v>166</v>
      </c>
      <c r="B97" s="767" t="str">
        <f>VLOOKUP(A97,$A$11:$E$36,3,0)</f>
        <v>AMERICANAS</v>
      </c>
      <c r="C97" s="767"/>
      <c r="D97" s="764">
        <v>213.25</v>
      </c>
      <c r="E97" s="764"/>
    </row>
    <row r="98" spans="1:5" s="40" customFormat="1" ht="12.75" x14ac:dyDescent="0.2">
      <c r="A98" s="69" t="s">
        <v>244</v>
      </c>
      <c r="B98" s="768" t="str">
        <f>VLOOKUP(A98,$A$11:$E$36,3,0)</f>
        <v>LEROY MERLIN</v>
      </c>
      <c r="C98" s="769"/>
      <c r="D98" s="761">
        <v>278.41000000000003</v>
      </c>
      <c r="E98" s="761"/>
    </row>
    <row r="99" spans="1:5" s="40" customFormat="1" ht="12.75" x14ac:dyDescent="0.2">
      <c r="A99" s="197" t="s">
        <v>269</v>
      </c>
      <c r="B99" s="765" t="str">
        <f>VLOOKUP(A99,$A$11:$E$36,3,0)</f>
        <v>ILUMINIM</v>
      </c>
      <c r="C99" s="766"/>
      <c r="D99" s="759">
        <v>218.77</v>
      </c>
      <c r="E99" s="759"/>
    </row>
    <row r="100" spans="1:5" s="40" customFormat="1" ht="12.75" x14ac:dyDescent="0.2">
      <c r="A100" s="202"/>
      <c r="D100" s="84"/>
      <c r="E100" s="203"/>
    </row>
    <row r="101" spans="1:5" s="40" customFormat="1" ht="12.75" x14ac:dyDescent="0.2">
      <c r="A101" s="71" t="s">
        <v>38</v>
      </c>
      <c r="B101" s="72" t="s">
        <v>52</v>
      </c>
      <c r="C101" s="73" t="s">
        <v>39</v>
      </c>
      <c r="D101" s="73" t="s">
        <v>155</v>
      </c>
      <c r="E101" s="73" t="s">
        <v>156</v>
      </c>
    </row>
    <row r="102" spans="1:5" s="40" customFormat="1" ht="21" x14ac:dyDescent="0.2">
      <c r="A102" s="236" t="s">
        <v>306</v>
      </c>
      <c r="B102" s="232" t="s">
        <v>393</v>
      </c>
      <c r="C102" s="233" t="s">
        <v>158</v>
      </c>
      <c r="D102" s="234">
        <v>44398</v>
      </c>
      <c r="E102" s="235">
        <f>IF(SUM(D104:E106)&lt;&gt;0,MEDIAN(D104:E106),"")</f>
        <v>1577.04</v>
      </c>
    </row>
    <row r="103" spans="1:5" s="40" customFormat="1" ht="12.75" x14ac:dyDescent="0.2">
      <c r="A103" s="79" t="s">
        <v>159</v>
      </c>
      <c r="B103" s="762" t="s">
        <v>160</v>
      </c>
      <c r="C103" s="762"/>
      <c r="D103" s="763" t="s">
        <v>145</v>
      </c>
      <c r="E103" s="763"/>
    </row>
    <row r="104" spans="1:5" s="40" customFormat="1" ht="12.75" x14ac:dyDescent="0.2">
      <c r="A104" s="196" t="s">
        <v>248</v>
      </c>
      <c r="B104" s="767" t="str">
        <f>VLOOKUP(A104,$A$11:$E$36,3,0)</f>
        <v>CONTRAFO</v>
      </c>
      <c r="C104" s="767"/>
      <c r="D104" s="764">
        <v>1529.9</v>
      </c>
      <c r="E104" s="764"/>
    </row>
    <row r="105" spans="1:5" s="40" customFormat="1" ht="12.75" x14ac:dyDescent="0.2">
      <c r="A105" s="69" t="s">
        <v>288</v>
      </c>
      <c r="B105" s="768" t="str">
        <f>VLOOKUP(A105,$A$11:$E$36,3,0)</f>
        <v>DELTA COMÉRCIO</v>
      </c>
      <c r="C105" s="769"/>
      <c r="D105" s="761">
        <v>1860.75</v>
      </c>
      <c r="E105" s="761"/>
    </row>
    <row r="106" spans="1:5" s="40" customFormat="1" ht="12.75" x14ac:dyDescent="0.2">
      <c r="A106" s="197" t="s">
        <v>289</v>
      </c>
      <c r="B106" s="765" t="str">
        <f>VLOOKUP(A106,$A$11:$E$36,3,0)</f>
        <v>VIEW TECH</v>
      </c>
      <c r="C106" s="766"/>
      <c r="D106" s="759">
        <v>1577.04</v>
      </c>
      <c r="E106" s="759"/>
    </row>
    <row r="107" spans="1:5" s="40" customFormat="1" ht="12.75" x14ac:dyDescent="0.2">
      <c r="A107" s="202"/>
      <c r="D107" s="84"/>
      <c r="E107" s="203"/>
    </row>
    <row r="108" spans="1:5" s="40" customFormat="1" ht="12.75" x14ac:dyDescent="0.2">
      <c r="A108" s="71" t="s">
        <v>38</v>
      </c>
      <c r="B108" s="72" t="s">
        <v>52</v>
      </c>
      <c r="C108" s="73" t="s">
        <v>39</v>
      </c>
      <c r="D108" s="73" t="s">
        <v>155</v>
      </c>
      <c r="E108" s="73" t="s">
        <v>156</v>
      </c>
    </row>
    <row r="109" spans="1:5" s="40" customFormat="1" ht="21" x14ac:dyDescent="0.2">
      <c r="A109" s="74" t="s">
        <v>307</v>
      </c>
      <c r="B109" s="75" t="s">
        <v>458</v>
      </c>
      <c r="C109" s="76" t="s">
        <v>113</v>
      </c>
      <c r="D109" s="77">
        <v>44462</v>
      </c>
      <c r="E109" s="78">
        <f>IF(SUM(D111:E113)&lt;&gt;0,MEDIAN(D111:E113),"")</f>
        <v>2434.0700000000002</v>
      </c>
    </row>
    <row r="110" spans="1:5" s="40" customFormat="1" ht="12.75" x14ac:dyDescent="0.2">
      <c r="A110" s="79" t="s">
        <v>159</v>
      </c>
      <c r="B110" s="762" t="s">
        <v>160</v>
      </c>
      <c r="C110" s="762"/>
      <c r="D110" s="763" t="s">
        <v>145</v>
      </c>
      <c r="E110" s="763"/>
    </row>
    <row r="111" spans="1:5" s="40" customFormat="1" ht="12.75" x14ac:dyDescent="0.2">
      <c r="A111" s="196" t="s">
        <v>270</v>
      </c>
      <c r="B111" s="767" t="str">
        <f>VLOOKUP(A111,$A$11:$E$36,3,0)</f>
        <v>RC VIDROS</v>
      </c>
      <c r="C111" s="767"/>
      <c r="D111" s="764">
        <v>2182</v>
      </c>
      <c r="E111" s="764"/>
    </row>
    <row r="112" spans="1:5" s="40" customFormat="1" ht="12.75" x14ac:dyDescent="0.2">
      <c r="A112" s="69" t="s">
        <v>271</v>
      </c>
      <c r="B112" s="768" t="str">
        <f>VLOOKUP(A112,$A$11:$E$36,3,0)</f>
        <v>VARANDA VIDROS</v>
      </c>
      <c r="C112" s="769"/>
      <c r="D112" s="761">
        <v>2520</v>
      </c>
      <c r="E112" s="761"/>
    </row>
    <row r="113" spans="1:5" s="40" customFormat="1" ht="12.75" x14ac:dyDescent="0.2">
      <c r="A113" s="197" t="s">
        <v>272</v>
      </c>
      <c r="B113" s="765" t="str">
        <f>VLOOKUP(A113,$A$11:$E$36,3,0)</f>
        <v>VIDROLINE</v>
      </c>
      <c r="C113" s="766"/>
      <c r="D113" s="759">
        <v>2434.0700000000002</v>
      </c>
      <c r="E113" s="759"/>
    </row>
    <row r="114" spans="1:5" s="40" customFormat="1" ht="12.75" x14ac:dyDescent="0.2">
      <c r="A114" s="202"/>
      <c r="D114" s="84"/>
      <c r="E114" s="203"/>
    </row>
    <row r="115" spans="1:5" s="40" customFormat="1" ht="12.75" x14ac:dyDescent="0.2">
      <c r="A115" s="71" t="s">
        <v>38</v>
      </c>
      <c r="B115" s="72" t="s">
        <v>52</v>
      </c>
      <c r="C115" s="73" t="s">
        <v>39</v>
      </c>
      <c r="D115" s="73" t="s">
        <v>155</v>
      </c>
      <c r="E115" s="73" t="s">
        <v>156</v>
      </c>
    </row>
    <row r="116" spans="1:5" s="40" customFormat="1" ht="21" x14ac:dyDescent="0.2">
      <c r="A116" s="198" t="s">
        <v>308</v>
      </c>
      <c r="B116" s="75" t="s">
        <v>459</v>
      </c>
      <c r="C116" s="76" t="s">
        <v>113</v>
      </c>
      <c r="D116" s="77">
        <v>44462</v>
      </c>
      <c r="E116" s="78">
        <f>IF(SUM(D118:E120)&lt;&gt;0,MEDIAN(D118:E120),"")</f>
        <v>3943.41</v>
      </c>
    </row>
    <row r="117" spans="1:5" s="40" customFormat="1" ht="12.75" x14ac:dyDescent="0.2">
      <c r="A117" s="79" t="s">
        <v>159</v>
      </c>
      <c r="B117" s="762" t="s">
        <v>160</v>
      </c>
      <c r="C117" s="762"/>
      <c r="D117" s="763" t="s">
        <v>145</v>
      </c>
      <c r="E117" s="763"/>
    </row>
    <row r="118" spans="1:5" s="40" customFormat="1" ht="12.75" x14ac:dyDescent="0.2">
      <c r="A118" s="196" t="s">
        <v>270</v>
      </c>
      <c r="B118" s="767" t="str">
        <f>VLOOKUP(A118,$A$11:$E$36,3,0)</f>
        <v>RC VIDROS</v>
      </c>
      <c r="C118" s="767"/>
      <c r="D118" s="764">
        <v>3739</v>
      </c>
      <c r="E118" s="764"/>
    </row>
    <row r="119" spans="1:5" s="40" customFormat="1" ht="12.75" x14ac:dyDescent="0.2">
      <c r="A119" s="69" t="s">
        <v>271</v>
      </c>
      <c r="B119" s="768" t="str">
        <f>VLOOKUP(A119,$A$11:$E$36,3,0)</f>
        <v>VARANDA VIDROS</v>
      </c>
      <c r="C119" s="769"/>
      <c r="D119" s="761">
        <v>3943.41</v>
      </c>
      <c r="E119" s="761"/>
    </row>
    <row r="120" spans="1:5" s="40" customFormat="1" ht="12.75" x14ac:dyDescent="0.2">
      <c r="A120" s="197" t="s">
        <v>272</v>
      </c>
      <c r="B120" s="765" t="str">
        <f>VLOOKUP(A120,$A$11:$E$36,3,0)</f>
        <v>VIDROLINE</v>
      </c>
      <c r="C120" s="766"/>
      <c r="D120" s="759">
        <v>3955</v>
      </c>
      <c r="E120" s="759"/>
    </row>
    <row r="121" spans="1:5" s="40" customFormat="1" ht="12.75" x14ac:dyDescent="0.2">
      <c r="A121" s="202"/>
      <c r="D121" s="84"/>
      <c r="E121" s="203"/>
    </row>
    <row r="122" spans="1:5" s="40" customFormat="1" ht="12.75" x14ac:dyDescent="0.2">
      <c r="A122" s="71" t="s">
        <v>38</v>
      </c>
      <c r="B122" s="72" t="s">
        <v>52</v>
      </c>
      <c r="C122" s="73" t="s">
        <v>39</v>
      </c>
      <c r="D122" s="73" t="s">
        <v>155</v>
      </c>
      <c r="E122" s="73" t="s">
        <v>156</v>
      </c>
    </row>
    <row r="123" spans="1:5" s="40" customFormat="1" ht="31.5" x14ac:dyDescent="0.2">
      <c r="A123" s="198" t="s">
        <v>309</v>
      </c>
      <c r="B123" s="75" t="s">
        <v>460</v>
      </c>
      <c r="C123" s="76" t="s">
        <v>113</v>
      </c>
      <c r="D123" s="77">
        <v>44462</v>
      </c>
      <c r="E123" s="78">
        <f>IF(SUM(D125:E127)&lt;&gt;0,MEDIAN(D125:E127),"")</f>
        <v>18500</v>
      </c>
    </row>
    <row r="124" spans="1:5" s="40" customFormat="1" ht="12.75" x14ac:dyDescent="0.2">
      <c r="A124" s="79" t="s">
        <v>159</v>
      </c>
      <c r="B124" s="762" t="s">
        <v>160</v>
      </c>
      <c r="C124" s="762"/>
      <c r="D124" s="763" t="s">
        <v>145</v>
      </c>
      <c r="E124" s="763"/>
    </row>
    <row r="125" spans="1:5" s="40" customFormat="1" ht="12.75" x14ac:dyDescent="0.2">
      <c r="A125" s="196" t="s">
        <v>270</v>
      </c>
      <c r="B125" s="767" t="str">
        <f>VLOOKUP(A125,$A$11:$E$36,3,0)</f>
        <v>RC VIDROS</v>
      </c>
      <c r="C125" s="767"/>
      <c r="D125" s="764">
        <v>18500</v>
      </c>
      <c r="E125" s="764"/>
    </row>
    <row r="126" spans="1:5" s="40" customFormat="1" ht="12.75" x14ac:dyDescent="0.2">
      <c r="A126" s="69" t="s">
        <v>271</v>
      </c>
      <c r="B126" s="768" t="str">
        <f>VLOOKUP(A126,$A$11:$E$36,3,0)</f>
        <v>VARANDA VIDROS</v>
      </c>
      <c r="C126" s="769"/>
      <c r="D126" s="761">
        <v>16064.55</v>
      </c>
      <c r="E126" s="761"/>
    </row>
    <row r="127" spans="1:5" s="40" customFormat="1" ht="12.75" x14ac:dyDescent="0.2">
      <c r="A127" s="197" t="s">
        <v>272</v>
      </c>
      <c r="B127" s="765" t="str">
        <f>VLOOKUP(A127,$A$11:$E$36,3,0)</f>
        <v>VIDROLINE</v>
      </c>
      <c r="C127" s="766"/>
      <c r="D127" s="759">
        <v>19500</v>
      </c>
      <c r="E127" s="759"/>
    </row>
    <row r="128" spans="1:5" s="40" customFormat="1" ht="12.75" x14ac:dyDescent="0.2">
      <c r="A128" s="202"/>
      <c r="D128" s="84"/>
      <c r="E128" s="203"/>
    </row>
    <row r="129" spans="1:5" s="40" customFormat="1" ht="12.75" x14ac:dyDescent="0.2">
      <c r="A129" s="71" t="s">
        <v>38</v>
      </c>
      <c r="B129" s="72" t="s">
        <v>52</v>
      </c>
      <c r="C129" s="73" t="s">
        <v>39</v>
      </c>
      <c r="D129" s="73" t="s">
        <v>155</v>
      </c>
      <c r="E129" s="73" t="s">
        <v>156</v>
      </c>
    </row>
    <row r="130" spans="1:5" s="40" customFormat="1" ht="31.5" x14ac:dyDescent="0.2">
      <c r="A130" s="231" t="s">
        <v>310</v>
      </c>
      <c r="B130" s="232" t="s">
        <v>463</v>
      </c>
      <c r="C130" s="233" t="s">
        <v>113</v>
      </c>
      <c r="D130" s="234">
        <v>44462</v>
      </c>
      <c r="E130" s="235">
        <f>IF(SUM(D132:E134)&lt;&gt;0,MEDIAN(D132:E134),"")</f>
        <v>5000</v>
      </c>
    </row>
    <row r="131" spans="1:5" s="40" customFormat="1" ht="12.75" x14ac:dyDescent="0.2">
      <c r="A131" s="79" t="s">
        <v>159</v>
      </c>
      <c r="B131" s="762" t="s">
        <v>160</v>
      </c>
      <c r="C131" s="762"/>
      <c r="D131" s="763" t="s">
        <v>145</v>
      </c>
      <c r="E131" s="763"/>
    </row>
    <row r="132" spans="1:5" s="40" customFormat="1" ht="12.75" x14ac:dyDescent="0.2">
      <c r="A132" s="196" t="s">
        <v>270</v>
      </c>
      <c r="B132" s="767" t="str">
        <f>VLOOKUP(A132,$A$11:$E$36,3,0)</f>
        <v>RC VIDROS</v>
      </c>
      <c r="C132" s="767"/>
      <c r="D132" s="764">
        <v>7000</v>
      </c>
      <c r="E132" s="764"/>
    </row>
    <row r="133" spans="1:5" s="40" customFormat="1" ht="12.75" x14ac:dyDescent="0.2">
      <c r="A133" s="69" t="s">
        <v>271</v>
      </c>
      <c r="B133" s="768" t="str">
        <f>VLOOKUP(A133,$A$11:$E$36,3,0)</f>
        <v>VARANDA VIDROS</v>
      </c>
      <c r="C133" s="769"/>
      <c r="D133" s="761">
        <v>5000</v>
      </c>
      <c r="E133" s="761"/>
    </row>
    <row r="134" spans="1:5" s="40" customFormat="1" ht="12.75" x14ac:dyDescent="0.2">
      <c r="A134" s="197" t="s">
        <v>272</v>
      </c>
      <c r="B134" s="765" t="str">
        <f>VLOOKUP(A134,$A$11:$E$36,3,0)</f>
        <v>VIDROLINE</v>
      </c>
      <c r="C134" s="766"/>
      <c r="D134" s="759">
        <v>3000</v>
      </c>
      <c r="E134" s="759"/>
    </row>
    <row r="135" spans="1:5" s="40" customFormat="1" ht="12.75" x14ac:dyDescent="0.2">
      <c r="A135" s="202"/>
      <c r="D135" s="84"/>
      <c r="E135" s="203"/>
    </row>
    <row r="136" spans="1:5" s="40" customFormat="1" ht="12.75" x14ac:dyDescent="0.2">
      <c r="A136" s="71" t="s">
        <v>38</v>
      </c>
      <c r="B136" s="72" t="s">
        <v>52</v>
      </c>
      <c r="C136" s="73" t="s">
        <v>39</v>
      </c>
      <c r="D136" s="73" t="s">
        <v>155</v>
      </c>
      <c r="E136" s="73" t="s">
        <v>156</v>
      </c>
    </row>
    <row r="137" spans="1:5" s="40" customFormat="1" ht="36.75" customHeight="1" x14ac:dyDescent="0.2">
      <c r="A137" s="236" t="s">
        <v>311</v>
      </c>
      <c r="B137" s="232" t="s">
        <v>313</v>
      </c>
      <c r="C137" s="233" t="s">
        <v>143</v>
      </c>
      <c r="D137" s="234">
        <v>44463</v>
      </c>
      <c r="E137" s="235">
        <f>IF(SUM(D139:E141)&lt;&gt;0,MEDIAN(D139:E141),"")</f>
        <v>317620</v>
      </c>
    </row>
    <row r="138" spans="1:5" s="40" customFormat="1" ht="12.75" x14ac:dyDescent="0.2">
      <c r="A138" s="79" t="s">
        <v>159</v>
      </c>
      <c r="B138" s="762" t="s">
        <v>160</v>
      </c>
      <c r="C138" s="762"/>
      <c r="D138" s="763" t="s">
        <v>145</v>
      </c>
      <c r="E138" s="763"/>
    </row>
    <row r="139" spans="1:5" s="40" customFormat="1" ht="12.75" x14ac:dyDescent="0.2">
      <c r="A139" s="196" t="s">
        <v>248</v>
      </c>
      <c r="B139" s="767" t="str">
        <f>VLOOKUP(A139,$A$11:$E$36,3,0)</f>
        <v>CONTRAFO</v>
      </c>
      <c r="C139" s="767"/>
      <c r="D139" s="764">
        <v>396750</v>
      </c>
      <c r="E139" s="764"/>
    </row>
    <row r="140" spans="1:5" s="40" customFormat="1" ht="12.75" x14ac:dyDescent="0.2">
      <c r="A140" s="69" t="s">
        <v>273</v>
      </c>
      <c r="B140" s="768" t="str">
        <f>VLOOKUP(A140,$A$11:$E$36,3,0)</f>
        <v>GAÚCHA CONSTRUÇÕES ELÉTRICAS</v>
      </c>
      <c r="C140" s="769"/>
      <c r="D140" s="761">
        <v>238490</v>
      </c>
      <c r="E140" s="761"/>
    </row>
    <row r="141" spans="1:5" s="40" customFormat="1" ht="12.75" x14ac:dyDescent="0.2">
      <c r="A141" s="197" t="s">
        <v>274</v>
      </c>
      <c r="B141" s="765" t="str">
        <f>VLOOKUP(A141,$A$11:$E$36,3,0)</f>
        <v>KOMPARY</v>
      </c>
      <c r="C141" s="766"/>
      <c r="D141" s="759"/>
      <c r="E141" s="759"/>
    </row>
    <row r="142" spans="1:5" s="40" customFormat="1" ht="12.75" x14ac:dyDescent="0.2">
      <c r="A142" s="202"/>
      <c r="D142" s="84"/>
      <c r="E142" s="203"/>
    </row>
    <row r="143" spans="1:5" s="40" customFormat="1" ht="12.75" x14ac:dyDescent="0.2">
      <c r="A143" s="71" t="s">
        <v>38</v>
      </c>
      <c r="B143" s="72" t="s">
        <v>52</v>
      </c>
      <c r="C143" s="73" t="s">
        <v>39</v>
      </c>
      <c r="D143" s="73" t="s">
        <v>155</v>
      </c>
      <c r="E143" s="73" t="s">
        <v>156</v>
      </c>
    </row>
    <row r="144" spans="1:5" s="40" customFormat="1" ht="31.5" x14ac:dyDescent="0.2">
      <c r="A144" s="231" t="s">
        <v>312</v>
      </c>
      <c r="B144" s="232" t="s">
        <v>397</v>
      </c>
      <c r="C144" s="233" t="s">
        <v>158</v>
      </c>
      <c r="D144" s="234">
        <v>44386</v>
      </c>
      <c r="E144" s="235">
        <f>IF(SUM(D146:E148)&lt;&gt;0,MEDIAN(D146:E148),"")</f>
        <v>150000</v>
      </c>
    </row>
    <row r="145" spans="1:5" s="40" customFormat="1" ht="12.75" x14ac:dyDescent="0.2">
      <c r="A145" s="79" t="s">
        <v>159</v>
      </c>
      <c r="B145" s="762" t="s">
        <v>160</v>
      </c>
      <c r="C145" s="762"/>
      <c r="D145" s="763" t="s">
        <v>145</v>
      </c>
      <c r="E145" s="763"/>
    </row>
    <row r="146" spans="1:5" s="40" customFormat="1" ht="12.75" x14ac:dyDescent="0.2">
      <c r="A146" s="196" t="s">
        <v>297</v>
      </c>
      <c r="B146" s="767" t="e">
        <f>VLOOKUP(A146,$A$11:$E$36,3,0)</f>
        <v>#N/A</v>
      </c>
      <c r="C146" s="767"/>
      <c r="D146" s="764">
        <v>150000</v>
      </c>
      <c r="E146" s="764"/>
    </row>
    <row r="147" spans="1:5" s="40" customFormat="1" ht="12.75" x14ac:dyDescent="0.2">
      <c r="A147" s="69" t="s">
        <v>298</v>
      </c>
      <c r="B147" s="768" t="e">
        <f>VLOOKUP(A147,$A$11:$E$36,3,0)</f>
        <v>#N/A</v>
      </c>
      <c r="C147" s="769"/>
      <c r="D147" s="761">
        <v>100000</v>
      </c>
      <c r="E147" s="761"/>
    </row>
    <row r="148" spans="1:5" s="40" customFormat="1" ht="12.75" x14ac:dyDescent="0.2">
      <c r="A148" s="197" t="s">
        <v>299</v>
      </c>
      <c r="B148" s="765" t="e">
        <f>VLOOKUP(A148,$A$11:$E$36,3,0)</f>
        <v>#N/A</v>
      </c>
      <c r="C148" s="766"/>
      <c r="D148" s="759">
        <v>175000</v>
      </c>
      <c r="E148" s="759"/>
    </row>
    <row r="149" spans="1:5" s="40" customFormat="1" ht="12.75" x14ac:dyDescent="0.2">
      <c r="A149" s="202"/>
      <c r="D149" s="84"/>
      <c r="E149" s="203"/>
    </row>
    <row r="150" spans="1:5" s="40" customFormat="1" ht="12.75" x14ac:dyDescent="0.2">
      <c r="A150" s="71" t="s">
        <v>38</v>
      </c>
      <c r="B150" s="72" t="s">
        <v>52</v>
      </c>
      <c r="C150" s="73" t="s">
        <v>39</v>
      </c>
      <c r="D150" s="73" t="s">
        <v>155</v>
      </c>
      <c r="E150" s="73" t="s">
        <v>156</v>
      </c>
    </row>
    <row r="151" spans="1:5" s="40" customFormat="1" ht="31.5" x14ac:dyDescent="0.2">
      <c r="A151" s="74" t="s">
        <v>314</v>
      </c>
      <c r="B151" s="75" t="s">
        <v>394</v>
      </c>
      <c r="C151" s="76" t="s">
        <v>143</v>
      </c>
      <c r="D151" s="77">
        <v>44462</v>
      </c>
      <c r="E151" s="78">
        <f>IF(SUM(D153:E155)&lt;&gt;0,MEDIAN(D153:E155),"")</f>
        <v>3800</v>
      </c>
    </row>
    <row r="152" spans="1:5" s="40" customFormat="1" ht="12.75" x14ac:dyDescent="0.2">
      <c r="A152" s="79" t="s">
        <v>159</v>
      </c>
      <c r="B152" s="762" t="s">
        <v>160</v>
      </c>
      <c r="C152" s="762"/>
      <c r="D152" s="763" t="s">
        <v>145</v>
      </c>
      <c r="E152" s="763"/>
    </row>
    <row r="153" spans="1:5" s="40" customFormat="1" ht="12.75" x14ac:dyDescent="0.2">
      <c r="A153" s="196" t="s">
        <v>274</v>
      </c>
      <c r="B153" s="767" t="str">
        <f>VLOOKUP(A153,$A$11:$E$36,3,0)</f>
        <v>KOMPARY</v>
      </c>
      <c r="C153" s="767"/>
      <c r="D153" s="764">
        <v>3800</v>
      </c>
      <c r="E153" s="764"/>
    </row>
    <row r="154" spans="1:5" s="40" customFormat="1" ht="12.75" x14ac:dyDescent="0.2">
      <c r="A154" s="69" t="s">
        <v>275</v>
      </c>
      <c r="B154" s="768" t="str">
        <f>VLOOKUP(A154,$A$11:$E$36,3,0)</f>
        <v xml:space="preserve">NEXXO </v>
      </c>
      <c r="C154" s="769"/>
      <c r="D154" s="761">
        <v>6600</v>
      </c>
      <c r="E154" s="761"/>
    </row>
    <row r="155" spans="1:5" s="40" customFormat="1" ht="12.75" x14ac:dyDescent="0.2">
      <c r="A155" s="197" t="s">
        <v>278</v>
      </c>
      <c r="B155" s="765" t="str">
        <f>VLOOKUP(A155,$A$11:$E$36,3,0)</f>
        <v>LUMISETE</v>
      </c>
      <c r="C155" s="766"/>
      <c r="D155" s="759">
        <v>2890</v>
      </c>
      <c r="E155" s="759"/>
    </row>
    <row r="156" spans="1:5" s="40" customFormat="1" ht="12.75" x14ac:dyDescent="0.2">
      <c r="A156" s="202"/>
      <c r="D156" s="84"/>
      <c r="E156" s="203"/>
    </row>
    <row r="157" spans="1:5" s="40" customFormat="1" ht="12.75" x14ac:dyDescent="0.2">
      <c r="A157" s="71" t="s">
        <v>38</v>
      </c>
      <c r="B157" s="72" t="s">
        <v>52</v>
      </c>
      <c r="C157" s="73" t="s">
        <v>39</v>
      </c>
      <c r="D157" s="73" t="s">
        <v>155</v>
      </c>
      <c r="E157" s="73" t="s">
        <v>156</v>
      </c>
    </row>
    <row r="158" spans="1:5" s="40" customFormat="1" ht="21" x14ac:dyDescent="0.2">
      <c r="A158" s="198" t="s">
        <v>315</v>
      </c>
      <c r="B158" s="75" t="s">
        <v>388</v>
      </c>
      <c r="C158" s="76" t="s">
        <v>143</v>
      </c>
      <c r="D158" s="77">
        <v>44454</v>
      </c>
      <c r="E158" s="78">
        <f>IF(SUM(D160:E162)&lt;&gt;0,MEDIAN(D160:E162),"")</f>
        <v>118000</v>
      </c>
    </row>
    <row r="159" spans="1:5" s="40" customFormat="1" ht="12.75" x14ac:dyDescent="0.2">
      <c r="A159" s="79" t="s">
        <v>159</v>
      </c>
      <c r="B159" s="762" t="s">
        <v>160</v>
      </c>
      <c r="C159" s="762"/>
      <c r="D159" s="763" t="s">
        <v>145</v>
      </c>
      <c r="E159" s="763"/>
    </row>
    <row r="160" spans="1:5" s="40" customFormat="1" ht="12.75" x14ac:dyDescent="0.2">
      <c r="A160" s="196" t="s">
        <v>280</v>
      </c>
      <c r="B160" s="767" t="str">
        <f>VLOOKUP(A160,$A$11:$E$36,3,0)</f>
        <v>JE BLINDAGEM</v>
      </c>
      <c r="C160" s="767"/>
      <c r="D160" s="764">
        <v>110900</v>
      </c>
      <c r="E160" s="764"/>
    </row>
    <row r="161" spans="1:6" s="40" customFormat="1" ht="12.75" x14ac:dyDescent="0.2">
      <c r="A161" s="69" t="s">
        <v>281</v>
      </c>
      <c r="B161" s="768" t="str">
        <f>VLOOKUP(A161,$A$11:$E$36,3,0)</f>
        <v>BLINDAMAIS</v>
      </c>
      <c r="C161" s="769"/>
      <c r="D161" s="761">
        <v>121800</v>
      </c>
      <c r="E161" s="761"/>
    </row>
    <row r="162" spans="1:6" s="40" customFormat="1" ht="12.75" x14ac:dyDescent="0.2">
      <c r="A162" s="197" t="s">
        <v>282</v>
      </c>
      <c r="B162" s="765" t="str">
        <f>VLOOKUP(A162,$A$11:$E$36,3,0)</f>
        <v>BG</v>
      </c>
      <c r="C162" s="766"/>
      <c r="D162" s="759">
        <v>118000</v>
      </c>
      <c r="E162" s="759"/>
    </row>
    <row r="163" spans="1:6" s="40" customFormat="1" ht="12.75" x14ac:dyDescent="0.2">
      <c r="A163" s="202"/>
      <c r="D163" s="84"/>
      <c r="E163" s="203"/>
    </row>
    <row r="164" spans="1:6" s="40" customFormat="1" ht="12.75" x14ac:dyDescent="0.2"/>
    <row r="165" spans="1:6" s="40" customFormat="1" ht="12.75" x14ac:dyDescent="0.2"/>
    <row r="166" spans="1:6" s="40" customFormat="1" ht="12.75" x14ac:dyDescent="0.2"/>
    <row r="167" spans="1:6" s="40" customFormat="1" ht="12.75" x14ac:dyDescent="0.2"/>
    <row r="168" spans="1:6" s="40" customFormat="1" x14ac:dyDescent="0.25">
      <c r="F168"/>
    </row>
    <row r="169" spans="1:6" s="40" customFormat="1" x14ac:dyDescent="0.25">
      <c r="F169"/>
    </row>
  </sheetData>
  <dataConsolidate/>
  <mergeCells count="148">
    <mergeCell ref="B105:C105"/>
    <mergeCell ref="D105:E105"/>
    <mergeCell ref="B120:C120"/>
    <mergeCell ref="D120:E120"/>
    <mergeCell ref="B161:C161"/>
    <mergeCell ref="D161:E161"/>
    <mergeCell ref="B146:C146"/>
    <mergeCell ref="D146:E146"/>
    <mergeCell ref="B147:C147"/>
    <mergeCell ref="D147:E147"/>
    <mergeCell ref="B148:C148"/>
    <mergeCell ref="D148:E148"/>
    <mergeCell ref="B139:C139"/>
    <mergeCell ref="D139:E139"/>
    <mergeCell ref="B140:C140"/>
    <mergeCell ref="D140:E140"/>
    <mergeCell ref="B141:C141"/>
    <mergeCell ref="D141:E141"/>
    <mergeCell ref="B127:C127"/>
    <mergeCell ref="D127:E127"/>
    <mergeCell ref="B138:C138"/>
    <mergeCell ref="D138:E138"/>
    <mergeCell ref="B133:C133"/>
    <mergeCell ref="D133:E133"/>
    <mergeCell ref="B162:C162"/>
    <mergeCell ref="D162:E162"/>
    <mergeCell ref="B131:C131"/>
    <mergeCell ref="D131:E131"/>
    <mergeCell ref="B132:C132"/>
    <mergeCell ref="D132:E132"/>
    <mergeCell ref="B50:C50"/>
    <mergeCell ref="D50:E50"/>
    <mergeCell ref="B125:C125"/>
    <mergeCell ref="D125:E125"/>
    <mergeCell ref="B145:C145"/>
    <mergeCell ref="D145:E145"/>
    <mergeCell ref="B155:C155"/>
    <mergeCell ref="D155:E155"/>
    <mergeCell ref="B159:C159"/>
    <mergeCell ref="D159:E159"/>
    <mergeCell ref="B160:C160"/>
    <mergeCell ref="D160:E160"/>
    <mergeCell ref="B152:C152"/>
    <mergeCell ref="D152:E152"/>
    <mergeCell ref="B153:C153"/>
    <mergeCell ref="D153:E153"/>
    <mergeCell ref="B154:C154"/>
    <mergeCell ref="D154:E154"/>
    <mergeCell ref="B134:C134"/>
    <mergeCell ref="D134:E134"/>
    <mergeCell ref="B106:C106"/>
    <mergeCell ref="D106:E106"/>
    <mergeCell ref="B110:C110"/>
    <mergeCell ref="D110:E110"/>
    <mergeCell ref="B124:C124"/>
    <mergeCell ref="D124:E124"/>
    <mergeCell ref="B117:C117"/>
    <mergeCell ref="D117:E117"/>
    <mergeCell ref="B118:C118"/>
    <mergeCell ref="D118:E118"/>
    <mergeCell ref="B119:C119"/>
    <mergeCell ref="D119:E119"/>
    <mergeCell ref="B126:C126"/>
    <mergeCell ref="D126:E126"/>
    <mergeCell ref="B111:C111"/>
    <mergeCell ref="D111:E111"/>
    <mergeCell ref="B112:C112"/>
    <mergeCell ref="D112:E112"/>
    <mergeCell ref="B113:C113"/>
    <mergeCell ref="D113:E113"/>
    <mergeCell ref="B99:C99"/>
    <mergeCell ref="D99:E99"/>
    <mergeCell ref="B103:C103"/>
    <mergeCell ref="D103:E103"/>
    <mergeCell ref="B104:C104"/>
    <mergeCell ref="D104:E104"/>
    <mergeCell ref="B96:C96"/>
    <mergeCell ref="D96:E96"/>
    <mergeCell ref="B97:C97"/>
    <mergeCell ref="D97:E97"/>
    <mergeCell ref="B98:C98"/>
    <mergeCell ref="D98:E98"/>
    <mergeCell ref="B90:C90"/>
    <mergeCell ref="D90:E90"/>
    <mergeCell ref="B91:C91"/>
    <mergeCell ref="D91:E91"/>
    <mergeCell ref="B92:C92"/>
    <mergeCell ref="D92:E92"/>
    <mergeCell ref="B84:C84"/>
    <mergeCell ref="D84:E84"/>
    <mergeCell ref="B85:C85"/>
    <mergeCell ref="D85:E85"/>
    <mergeCell ref="B89:C89"/>
    <mergeCell ref="D89:E89"/>
    <mergeCell ref="B82:C82"/>
    <mergeCell ref="D82:E82"/>
    <mergeCell ref="B83:C83"/>
    <mergeCell ref="D83:E83"/>
    <mergeCell ref="B75:C75"/>
    <mergeCell ref="D75:E75"/>
    <mergeCell ref="B76:C76"/>
    <mergeCell ref="D76:E76"/>
    <mergeCell ref="B77:C77"/>
    <mergeCell ref="D77:E77"/>
    <mergeCell ref="B70:C70"/>
    <mergeCell ref="D70:E70"/>
    <mergeCell ref="B71:C71"/>
    <mergeCell ref="D71:E71"/>
    <mergeCell ref="B64:C64"/>
    <mergeCell ref="D64:E64"/>
    <mergeCell ref="B68:C68"/>
    <mergeCell ref="D68:E68"/>
    <mergeCell ref="B78:C78"/>
    <mergeCell ref="D78:E78"/>
    <mergeCell ref="B56:C56"/>
    <mergeCell ref="D56:E56"/>
    <mergeCell ref="B41:C41"/>
    <mergeCell ref="D41:E41"/>
    <mergeCell ref="B42:C42"/>
    <mergeCell ref="D42:E42"/>
    <mergeCell ref="B43:C43"/>
    <mergeCell ref="D43:E43"/>
    <mergeCell ref="B69:C69"/>
    <mergeCell ref="D69:E69"/>
    <mergeCell ref="B63:C63"/>
    <mergeCell ref="D63:E63"/>
    <mergeCell ref="B47:C47"/>
    <mergeCell ref="D47:E47"/>
    <mergeCell ref="B48:C48"/>
    <mergeCell ref="D48:E48"/>
    <mergeCell ref="B49:C49"/>
    <mergeCell ref="D49:E49"/>
    <mergeCell ref="B57:C57"/>
    <mergeCell ref="D57:E57"/>
    <mergeCell ref="B61:C61"/>
    <mergeCell ref="D61:E61"/>
    <mergeCell ref="B62:C62"/>
    <mergeCell ref="D62:E62"/>
    <mergeCell ref="A4:E4"/>
    <mergeCell ref="D5:E5"/>
    <mergeCell ref="D7:E8"/>
    <mergeCell ref="A37:E37"/>
    <mergeCell ref="B40:C40"/>
    <mergeCell ref="D40:E40"/>
    <mergeCell ref="B54:C54"/>
    <mergeCell ref="D54:E54"/>
    <mergeCell ref="B55:C55"/>
    <mergeCell ref="D55:E55"/>
  </mergeCells>
  <phoneticPr fontId="2" type="noConversion"/>
  <dataValidations count="2">
    <dataValidation type="list" allowBlank="1" showInputMessage="1" showErrorMessage="1" sqref="A72 A58 A65 A44" xr:uid="{00000000-0002-0000-0B00-000000000000}">
      <formula1>#REF!</formula1>
    </dataValidation>
    <dataValidation type="list" allowBlank="1" showInputMessage="1" showErrorMessage="1" sqref="A41:A43 A62:A64 A146:A148 A160:A162 A153:A155 A139:A141 A125:A127 A118:A120 A111:A113 A104:A106 A97:A99 A76:A78 A69:A71 A55:A57 A83:A85 A90:A92 A48:A51 A132:A134" xr:uid="{00000000-0002-0000-0B00-000001000000}">
      <formula1>$A$11:$A$36</formula1>
    </dataValidation>
  </dataValidations>
  <printOptions horizontalCentered="1"/>
  <pageMargins left="0.23622047244094491" right="0.23622047244094491" top="0.39370078740157483" bottom="0.39370078740157483" header="0.31496062992125984" footer="0.31496062992125984"/>
  <pageSetup paperSize="9" scale="83" fitToHeight="0" orientation="portrait" r:id="rId1"/>
  <headerFooter>
    <oddFooter>Página &amp;P de &amp;N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0.79998168889431442"/>
    <pageSetUpPr fitToPage="1"/>
  </sheetPr>
  <dimension ref="A1:AB69"/>
  <sheetViews>
    <sheetView workbookViewId="0"/>
  </sheetViews>
  <sheetFormatPr defaultColWidth="9.140625" defaultRowHeight="15" x14ac:dyDescent="0.25"/>
  <cols>
    <col min="1" max="1" width="9.85546875" bestFit="1" customWidth="1"/>
    <col min="2" max="2" width="18.7109375" customWidth="1"/>
    <col min="3" max="3" width="32.5703125" customWidth="1"/>
    <col min="4" max="4" width="9.42578125" bestFit="1" customWidth="1"/>
    <col min="5" max="5" width="17.7109375" bestFit="1" customWidth="1"/>
    <col min="6" max="6" width="15" bestFit="1" customWidth="1"/>
    <col min="7" max="7" width="8.140625" bestFit="1" customWidth="1"/>
    <col min="8" max="8" width="16" bestFit="1" customWidth="1"/>
    <col min="9" max="9" width="15" bestFit="1" customWidth="1"/>
    <col min="10" max="10" width="8.140625" bestFit="1" customWidth="1"/>
    <col min="11" max="11" width="16" bestFit="1" customWidth="1"/>
    <col min="12" max="12" width="15" bestFit="1" customWidth="1"/>
    <col min="13" max="13" width="8.42578125" bestFit="1" customWidth="1"/>
    <col min="14" max="14" width="16" bestFit="1" customWidth="1"/>
    <col min="15" max="15" width="15" bestFit="1" customWidth="1"/>
    <col min="16" max="16" width="8.42578125" bestFit="1" customWidth="1"/>
    <col min="17" max="17" width="16" bestFit="1" customWidth="1"/>
    <col min="18" max="18" width="15" bestFit="1" customWidth="1"/>
    <col min="19" max="19" width="8.42578125" bestFit="1" customWidth="1"/>
    <col min="20" max="20" width="16" bestFit="1" customWidth="1"/>
    <col min="21" max="21" width="15.5703125" customWidth="1"/>
    <col min="22" max="22" width="8.42578125" bestFit="1" customWidth="1"/>
    <col min="23" max="23" width="16" bestFit="1" customWidth="1"/>
    <col min="24" max="24" width="10.7109375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4.45" customHeight="1" x14ac:dyDescent="0.25">
      <c r="A1" s="19"/>
      <c r="B1" s="20"/>
      <c r="C1" s="592" t="str">
        <f>'ORÇAMENTO_N DES'!D2</f>
        <v>GOVERNO DO ESTADO DE MATO GROSSO DO SUL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</row>
    <row r="2" spans="1:28" ht="14.45" customHeight="1" x14ac:dyDescent="0.25">
      <c r="A2" s="6"/>
      <c r="B2" s="21"/>
      <c r="C2" s="593" t="str">
        <f>'ORÇAMENTO_N DES'!D3</f>
        <v>PREFEITURA MUNICIPAL DE RIBAS DO RIO PARDO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</row>
    <row r="3" spans="1:28" ht="14.45" customHeight="1" x14ac:dyDescent="0.25">
      <c r="A3" s="7"/>
      <c r="B3" s="22"/>
      <c r="C3" s="592" t="str">
        <f>'ORÇAMENTO_N DES'!D4</f>
        <v>SECRETARIA DE OBRAS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  <c r="V3" s="592"/>
      <c r="W3" s="592"/>
      <c r="X3" s="592"/>
    </row>
    <row r="4" spans="1:28" ht="20.45" customHeight="1" x14ac:dyDescent="0.25">
      <c r="A4" s="594" t="s">
        <v>658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775"/>
    </row>
    <row r="5" spans="1:28" ht="14.45" customHeight="1" x14ac:dyDescent="0.25">
      <c r="A5" s="31" t="str">
        <f>'ORÇAMENTO_N DES'!B6</f>
        <v>OBJETO:</v>
      </c>
      <c r="B5" s="833" t="str">
        <f>'ORÇAMENTO_N DES'!C6</f>
        <v>CONSTRUÇÃO DE PONTOS DE ÔNIBUS</v>
      </c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205" t="s">
        <v>45</v>
      </c>
      <c r="V5" s="27"/>
      <c r="W5" s="27"/>
      <c r="X5" s="28"/>
    </row>
    <row r="6" spans="1:28" ht="14.45" customHeight="1" x14ac:dyDescent="0.25">
      <c r="A6" s="31" t="str">
        <f>'ORÇAMENTO_N DES'!B7</f>
        <v>MUNÍCIPIO:</v>
      </c>
      <c r="B6" s="833" t="str">
        <f>'ORÇAMENTO_N DES'!C7</f>
        <v>RIBAS DO RIO PARDO - MS</v>
      </c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3"/>
      <c r="S6" s="833"/>
      <c r="T6" s="833"/>
      <c r="U6" s="34"/>
      <c r="V6" s="35"/>
      <c r="W6" s="35"/>
      <c r="X6" s="29"/>
    </row>
    <row r="7" spans="1:28" ht="14.45" customHeight="1" x14ac:dyDescent="0.25">
      <c r="A7" s="31" t="str">
        <f>'ORÇAMENTO_N DES'!B8</f>
        <v>LOCAL:</v>
      </c>
      <c r="B7" s="833" t="str">
        <f>'ORÇAMENTO_N DES'!C8</f>
        <v>RIBAS DO RIO PARDO</v>
      </c>
      <c r="C7" s="833"/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605" t="str">
        <f>'ORÇAMENTO_N DES'!M7</f>
        <v>_________________________________
FÁBIO MARQUES RIBEIRO
CREA - 15.276 D</v>
      </c>
      <c r="V7" s="606"/>
      <c r="W7" s="606"/>
      <c r="X7" s="607"/>
    </row>
    <row r="8" spans="1:28" ht="14.45" customHeight="1" x14ac:dyDescent="0.25">
      <c r="A8" s="31" t="str">
        <f>'CRONOGRAMA DES'!A8</f>
        <v>SIST./REF.:</v>
      </c>
      <c r="B8" s="833" t="str">
        <f>'ORÇAMENTO_N DES'!C11</f>
        <v>AGESUL(JUNHO/2024) SINAPI (JUNHO/2024 SBC (JUNHO/2024)</v>
      </c>
      <c r="C8" s="833"/>
      <c r="D8" s="833"/>
      <c r="E8" s="833"/>
      <c r="F8" s="833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608"/>
      <c r="V8" s="609"/>
      <c r="W8" s="609"/>
      <c r="X8" s="610"/>
    </row>
    <row r="9" spans="1:28" ht="15" customHeight="1" x14ac:dyDescent="0.25">
      <c r="A9" s="834" t="s">
        <v>5</v>
      </c>
      <c r="B9" s="829" t="s">
        <v>6</v>
      </c>
      <c r="C9" s="830"/>
      <c r="D9" s="836" t="s">
        <v>0</v>
      </c>
      <c r="E9" s="838" t="s">
        <v>22</v>
      </c>
      <c r="F9" s="826" t="s">
        <v>7</v>
      </c>
      <c r="G9" s="827"/>
      <c r="H9" s="828"/>
      <c r="I9" s="826" t="s">
        <v>46</v>
      </c>
      <c r="J9" s="827"/>
      <c r="K9" s="828"/>
      <c r="L9" s="826" t="s">
        <v>47</v>
      </c>
      <c r="M9" s="827"/>
      <c r="N9" s="828"/>
      <c r="O9" s="826" t="s">
        <v>62</v>
      </c>
      <c r="P9" s="827"/>
      <c r="Q9" s="828"/>
      <c r="R9" s="826" t="s">
        <v>256</v>
      </c>
      <c r="S9" s="827"/>
      <c r="T9" s="828"/>
      <c r="U9" s="826" t="s">
        <v>257</v>
      </c>
      <c r="V9" s="827"/>
      <c r="W9" s="828"/>
      <c r="X9" s="145" t="s">
        <v>178</v>
      </c>
    </row>
    <row r="10" spans="1:28" x14ac:dyDescent="0.25">
      <c r="A10" s="835" t="s">
        <v>5</v>
      </c>
      <c r="B10" s="831"/>
      <c r="C10" s="832"/>
      <c r="D10" s="837"/>
      <c r="E10" s="839"/>
      <c r="F10" s="182" t="s">
        <v>23</v>
      </c>
      <c r="G10" s="182" t="s">
        <v>0</v>
      </c>
      <c r="H10" s="183" t="s">
        <v>33</v>
      </c>
      <c r="I10" s="182" t="s">
        <v>23</v>
      </c>
      <c r="J10" s="182" t="s">
        <v>0</v>
      </c>
      <c r="K10" s="183" t="s">
        <v>33</v>
      </c>
      <c r="L10" s="182" t="s">
        <v>23</v>
      </c>
      <c r="M10" s="182" t="s">
        <v>0</v>
      </c>
      <c r="N10" s="183" t="s">
        <v>33</v>
      </c>
      <c r="O10" s="182" t="s">
        <v>23</v>
      </c>
      <c r="P10" s="182" t="s">
        <v>0</v>
      </c>
      <c r="Q10" s="183" t="s">
        <v>33</v>
      </c>
      <c r="R10" s="182" t="s">
        <v>23</v>
      </c>
      <c r="S10" s="182" t="s">
        <v>0</v>
      </c>
      <c r="T10" s="183" t="s">
        <v>33</v>
      </c>
      <c r="U10" s="182" t="s">
        <v>23</v>
      </c>
      <c r="V10" s="182" t="s">
        <v>0</v>
      </c>
      <c r="W10" s="183" t="s">
        <v>33</v>
      </c>
      <c r="X10" s="184"/>
    </row>
    <row r="11" spans="1:28" x14ac:dyDescent="0.25">
      <c r="A11" s="142" t="s">
        <v>12</v>
      </c>
      <c r="B11" s="147" t="str">
        <f>VLOOKUP(A11,Tabela3[[ITEM]:[DESCRIÇÃO]],6,FALSE)</f>
        <v>SERVIÇOS PRELIMINARES</v>
      </c>
      <c r="C11" s="148"/>
      <c r="D11" s="149" t="e">
        <f t="shared" ref="D11:D35" si="0">E11/E$36</f>
        <v>#N/A</v>
      </c>
      <c r="E11" s="150">
        <f>VLOOKUP(A11,'ORÇAMENTO_N DES'!$B:$P,14,0)</f>
        <v>134058.96000000002</v>
      </c>
      <c r="F11" s="151">
        <f t="shared" ref="F11:F35" si="1">G11*E11</f>
        <v>22343.160000000007</v>
      </c>
      <c r="G11" s="152">
        <f>'CRONOGRAMA DES'!G11</f>
        <v>0.16666666666666669</v>
      </c>
      <c r="H11" s="153">
        <f t="shared" ref="H11:H35" si="2">G11</f>
        <v>0.16666666666666669</v>
      </c>
      <c r="I11" s="151" t="e">
        <f>J11*E11</f>
        <v>#REF!</v>
      </c>
      <c r="J11" s="152" t="e">
        <f>'CRONOGRAMA DES'!#REF!</f>
        <v>#REF!</v>
      </c>
      <c r="K11" s="153" t="e">
        <f t="shared" ref="K11:K35" si="3">J11+H11</f>
        <v>#REF!</v>
      </c>
      <c r="L11" s="151" t="e">
        <f>M11*E11</f>
        <v>#REF!</v>
      </c>
      <c r="M11" s="152" t="e">
        <f>'CRONOGRAMA DES'!#REF!</f>
        <v>#REF!</v>
      </c>
      <c r="N11" s="153" t="e">
        <f t="shared" ref="N11:N35" si="4">M11+K11</f>
        <v>#REF!</v>
      </c>
      <c r="O11" s="151" t="e">
        <f>P11*E11</f>
        <v>#REF!</v>
      </c>
      <c r="P11" s="152" t="e">
        <f>'CRONOGRAMA DES'!#REF!</f>
        <v>#REF!</v>
      </c>
      <c r="Q11" s="153" t="e">
        <f t="shared" ref="Q11:Q35" si="5">P11+N11</f>
        <v>#REF!</v>
      </c>
      <c r="R11" s="151" t="e">
        <f>S11*E11</f>
        <v>#REF!</v>
      </c>
      <c r="S11" s="152" t="e">
        <f>'CRONOGRAMA DES'!#REF!</f>
        <v>#REF!</v>
      </c>
      <c r="T11" s="153" t="e">
        <f t="shared" ref="T11:T35" si="6">S11+Q11</f>
        <v>#REF!</v>
      </c>
      <c r="U11" s="151">
        <f>V11*E11</f>
        <v>22343.160000000007</v>
      </c>
      <c r="V11" s="152">
        <f>'CRONOGRAMA DES'!V11</f>
        <v>0.16666666666666669</v>
      </c>
      <c r="W11" s="153" t="e">
        <f t="shared" ref="W11:W35" si="7">V11+T11</f>
        <v>#REF!</v>
      </c>
      <c r="X11" s="154" t="e">
        <f>G11+J11+M11+P11+S11+V11+G42+J42+M42+P42+S42+V42</f>
        <v>#REF!</v>
      </c>
      <c r="Z11" s="1"/>
      <c r="AB11" s="1"/>
    </row>
    <row r="12" spans="1:28" x14ac:dyDescent="0.25">
      <c r="A12" s="142" t="s">
        <v>11</v>
      </c>
      <c r="B12" s="147" t="str">
        <f>VLOOKUP(A12,Tabela3[[ITEM]:[DESCRIÇÃO]],6,FALSE)</f>
        <v>ESTRUTURA DE CONCRETO ARMADO</v>
      </c>
      <c r="C12" s="148"/>
      <c r="D12" s="149" t="e">
        <f t="shared" si="0"/>
        <v>#N/A</v>
      </c>
      <c r="E12" s="150">
        <f>VLOOKUP(A12,'ORÇAMENTO_N DES'!$B:$P,14,0)</f>
        <v>273439.64000000007</v>
      </c>
      <c r="F12" s="151">
        <f t="shared" si="1"/>
        <v>45573.273333333353</v>
      </c>
      <c r="G12" s="152">
        <f>'CRONOGRAMA DES'!G12</f>
        <v>0.16666666666666669</v>
      </c>
      <c r="H12" s="153">
        <f t="shared" si="2"/>
        <v>0.16666666666666669</v>
      </c>
      <c r="I12" s="151" t="e">
        <f t="shared" ref="I12:I35" si="8">J12*E12</f>
        <v>#REF!</v>
      </c>
      <c r="J12" s="152" t="e">
        <f>'CRONOGRAMA DES'!#REF!</f>
        <v>#REF!</v>
      </c>
      <c r="K12" s="153" t="e">
        <f t="shared" si="3"/>
        <v>#REF!</v>
      </c>
      <c r="L12" s="151" t="e">
        <f t="shared" ref="L12:L35" si="9">M12*E12</f>
        <v>#REF!</v>
      </c>
      <c r="M12" s="152" t="e">
        <f>'CRONOGRAMA DES'!#REF!</f>
        <v>#REF!</v>
      </c>
      <c r="N12" s="153" t="e">
        <f t="shared" si="4"/>
        <v>#REF!</v>
      </c>
      <c r="O12" s="151" t="e">
        <f t="shared" ref="O12:O35" si="10">P12*E12</f>
        <v>#REF!</v>
      </c>
      <c r="P12" s="152" t="e">
        <f>'CRONOGRAMA DES'!#REF!</f>
        <v>#REF!</v>
      </c>
      <c r="Q12" s="153" t="e">
        <f t="shared" si="5"/>
        <v>#REF!</v>
      </c>
      <c r="R12" s="151" t="e">
        <f t="shared" ref="R12:R35" si="11">S12*E12</f>
        <v>#REF!</v>
      </c>
      <c r="S12" s="152" t="e">
        <f>'CRONOGRAMA DES'!#REF!</f>
        <v>#REF!</v>
      </c>
      <c r="T12" s="153" t="e">
        <f t="shared" si="6"/>
        <v>#REF!</v>
      </c>
      <c r="U12" s="151">
        <f t="shared" ref="U12:U35" si="12">V12*E12</f>
        <v>45573.273333333353</v>
      </c>
      <c r="V12" s="152">
        <f>'CRONOGRAMA DES'!V12</f>
        <v>0.16666666666666669</v>
      </c>
      <c r="W12" s="153" t="e">
        <f t="shared" si="7"/>
        <v>#REF!</v>
      </c>
      <c r="X12" s="154" t="e">
        <f>G12+J12+M12+P12+S12+V12</f>
        <v>#REF!</v>
      </c>
      <c r="Z12" s="1"/>
      <c r="AB12" s="1"/>
    </row>
    <row r="13" spans="1:28" x14ac:dyDescent="0.25">
      <c r="A13" s="142" t="s">
        <v>18</v>
      </c>
      <c r="B13" s="147" t="str">
        <f>VLOOKUP(A13,Tabela3[[ITEM]:[DESCRIÇÃO]],6,FALSE)</f>
        <v>ESTRUTURA METÁLICA</v>
      </c>
      <c r="C13" s="155"/>
      <c r="D13" s="149" t="e">
        <f t="shared" si="0"/>
        <v>#N/A</v>
      </c>
      <c r="E13" s="150">
        <f>VLOOKUP(A13,'ORÇAMENTO_N DES'!$B:$P,14,0)</f>
        <v>284233.42</v>
      </c>
      <c r="F13" s="151">
        <f t="shared" si="1"/>
        <v>47372.236666666671</v>
      </c>
      <c r="G13" s="152">
        <f>'CRONOGRAMA DES'!G13</f>
        <v>0.16666666666666669</v>
      </c>
      <c r="H13" s="153">
        <f t="shared" si="2"/>
        <v>0.16666666666666669</v>
      </c>
      <c r="I13" s="151" t="e">
        <f t="shared" si="8"/>
        <v>#REF!</v>
      </c>
      <c r="J13" s="152" t="e">
        <f>'CRONOGRAMA DES'!#REF!</f>
        <v>#REF!</v>
      </c>
      <c r="K13" s="153" t="e">
        <f t="shared" si="3"/>
        <v>#REF!</v>
      </c>
      <c r="L13" s="151" t="e">
        <f t="shared" si="9"/>
        <v>#REF!</v>
      </c>
      <c r="M13" s="152" t="e">
        <f>'CRONOGRAMA DES'!#REF!</f>
        <v>#REF!</v>
      </c>
      <c r="N13" s="153" t="e">
        <f t="shared" si="4"/>
        <v>#REF!</v>
      </c>
      <c r="O13" s="151" t="e">
        <f t="shared" si="10"/>
        <v>#REF!</v>
      </c>
      <c r="P13" s="152" t="e">
        <f>'CRONOGRAMA DES'!#REF!</f>
        <v>#REF!</v>
      </c>
      <c r="Q13" s="153" t="e">
        <f t="shared" si="5"/>
        <v>#REF!</v>
      </c>
      <c r="R13" s="151" t="e">
        <f t="shared" si="11"/>
        <v>#REF!</v>
      </c>
      <c r="S13" s="152" t="e">
        <f>'CRONOGRAMA DES'!#REF!</f>
        <v>#REF!</v>
      </c>
      <c r="T13" s="153" t="e">
        <f t="shared" si="6"/>
        <v>#REF!</v>
      </c>
      <c r="U13" s="151">
        <f t="shared" si="12"/>
        <v>47372.236666666671</v>
      </c>
      <c r="V13" s="152">
        <f>'CRONOGRAMA DES'!V13</f>
        <v>0.16666666666666669</v>
      </c>
      <c r="W13" s="153" t="e">
        <f t="shared" si="7"/>
        <v>#REF!</v>
      </c>
      <c r="X13" s="154" t="e">
        <f>G13+J13+M13+P13+S13+V13</f>
        <v>#REF!</v>
      </c>
      <c r="Z13" s="1"/>
      <c r="AB13" s="1"/>
    </row>
    <row r="14" spans="1:28" x14ac:dyDescent="0.25">
      <c r="A14" s="142" t="s">
        <v>34</v>
      </c>
      <c r="B14" s="147" t="str">
        <f>VLOOKUP(A14,Tabela3[[ITEM]:[DESCRIÇÃO]],6,FALSE)</f>
        <v>COBERTURA</v>
      </c>
      <c r="C14" s="155"/>
      <c r="D14" s="149" t="e">
        <f t="shared" si="0"/>
        <v>#N/A</v>
      </c>
      <c r="E14" s="150">
        <f>VLOOKUP(A14,'ORÇAMENTO_N DES'!$B:$P,14,0)</f>
        <v>123176.75</v>
      </c>
      <c r="F14" s="151">
        <f t="shared" si="1"/>
        <v>20529.458333333336</v>
      </c>
      <c r="G14" s="152">
        <f>'CRONOGRAMA DES'!G16</f>
        <v>0.16666666666666669</v>
      </c>
      <c r="H14" s="153">
        <f t="shared" si="2"/>
        <v>0.16666666666666669</v>
      </c>
      <c r="I14" s="151" t="e">
        <f t="shared" si="8"/>
        <v>#REF!</v>
      </c>
      <c r="J14" s="152" t="e">
        <f>'CRONOGRAMA DES'!#REF!</f>
        <v>#REF!</v>
      </c>
      <c r="K14" s="153" t="e">
        <f t="shared" si="3"/>
        <v>#REF!</v>
      </c>
      <c r="L14" s="151" t="e">
        <f t="shared" si="9"/>
        <v>#REF!</v>
      </c>
      <c r="M14" s="152" t="e">
        <f>'CRONOGRAMA DES'!#REF!</f>
        <v>#REF!</v>
      </c>
      <c r="N14" s="153" t="e">
        <f t="shared" si="4"/>
        <v>#REF!</v>
      </c>
      <c r="O14" s="151" t="e">
        <f t="shared" si="10"/>
        <v>#REF!</v>
      </c>
      <c r="P14" s="152" t="e">
        <f>'CRONOGRAMA DES'!#REF!</f>
        <v>#REF!</v>
      </c>
      <c r="Q14" s="153" t="e">
        <f t="shared" si="5"/>
        <v>#REF!</v>
      </c>
      <c r="R14" s="151" t="e">
        <f t="shared" si="11"/>
        <v>#REF!</v>
      </c>
      <c r="S14" s="152" t="e">
        <f>'CRONOGRAMA DES'!#REF!</f>
        <v>#REF!</v>
      </c>
      <c r="T14" s="153" t="e">
        <f>S14+Q14</f>
        <v>#REF!</v>
      </c>
      <c r="U14" s="151">
        <f t="shared" si="12"/>
        <v>20529.458333333336</v>
      </c>
      <c r="V14" s="152">
        <f>'CRONOGRAMA DES'!V16</f>
        <v>0.16666666666666669</v>
      </c>
      <c r="W14" s="153" t="e">
        <f>V14+T14</f>
        <v>#REF!</v>
      </c>
      <c r="X14" s="154" t="e">
        <f>G14+J14+M14+P14+S14+V14</f>
        <v>#REF!</v>
      </c>
      <c r="Z14" s="1"/>
      <c r="AB14" s="1"/>
    </row>
    <row r="15" spans="1:28" x14ac:dyDescent="0.25">
      <c r="A15" s="142" t="s">
        <v>57</v>
      </c>
      <c r="B15" s="147" t="str">
        <f>VLOOKUP(A15,Tabela3[[ITEM]:[DESCRIÇÃO]],6,FALSE)</f>
        <v>PISO</v>
      </c>
      <c r="C15" s="155"/>
      <c r="D15" s="149" t="e">
        <f t="shared" si="0"/>
        <v>#N/A</v>
      </c>
      <c r="E15" s="150">
        <f>VLOOKUP(A15,'ORÇAMENTO_N DES'!$B:$P,14,0)</f>
        <v>129041.10999999999</v>
      </c>
      <c r="F15" s="151">
        <f t="shared" si="1"/>
        <v>21506.851666666666</v>
      </c>
      <c r="G15" s="152">
        <f>'CRONOGRAMA DES'!G17</f>
        <v>0.16666666666666669</v>
      </c>
      <c r="H15" s="153">
        <f t="shared" si="2"/>
        <v>0.16666666666666669</v>
      </c>
      <c r="I15" s="151" t="e">
        <f t="shared" si="8"/>
        <v>#REF!</v>
      </c>
      <c r="J15" s="152" t="e">
        <f>'CRONOGRAMA DES'!#REF!</f>
        <v>#REF!</v>
      </c>
      <c r="K15" s="153" t="e">
        <f t="shared" si="3"/>
        <v>#REF!</v>
      </c>
      <c r="L15" s="151" t="e">
        <f t="shared" si="9"/>
        <v>#REF!</v>
      </c>
      <c r="M15" s="152" t="e">
        <f>'CRONOGRAMA DES'!#REF!</f>
        <v>#REF!</v>
      </c>
      <c r="N15" s="153" t="e">
        <f t="shared" si="4"/>
        <v>#REF!</v>
      </c>
      <c r="O15" s="151" t="e">
        <f t="shared" si="10"/>
        <v>#REF!</v>
      </c>
      <c r="P15" s="152" t="e">
        <f>'CRONOGRAMA DES'!#REF!</f>
        <v>#REF!</v>
      </c>
      <c r="Q15" s="153" t="e">
        <f t="shared" si="5"/>
        <v>#REF!</v>
      </c>
      <c r="R15" s="151" t="e">
        <f t="shared" si="11"/>
        <v>#REF!</v>
      </c>
      <c r="S15" s="152" t="e">
        <f>'CRONOGRAMA DES'!#REF!</f>
        <v>#REF!</v>
      </c>
      <c r="T15" s="153" t="e">
        <f t="shared" si="6"/>
        <v>#REF!</v>
      </c>
      <c r="U15" s="151">
        <f t="shared" si="12"/>
        <v>21506.851666666666</v>
      </c>
      <c r="V15" s="152">
        <f>'CRONOGRAMA DES'!V17</f>
        <v>0.16666666666666669</v>
      </c>
      <c r="W15" s="153" t="e">
        <f t="shared" si="7"/>
        <v>#REF!</v>
      </c>
      <c r="X15" s="154" t="e">
        <f t="shared" ref="X15:X35" si="13">G15+J15+M15+P15+S15+V15</f>
        <v>#REF!</v>
      </c>
      <c r="Z15" s="1"/>
      <c r="AB15" s="1"/>
    </row>
    <row r="16" spans="1:28" x14ac:dyDescent="0.25">
      <c r="A16" s="142" t="s">
        <v>116</v>
      </c>
      <c r="B16" s="147" t="str">
        <f>VLOOKUP(A16,Tabela3[[ITEM]:[DESCRIÇÃO]],6,FALSE)</f>
        <v>URBANIZAÇÃO</v>
      </c>
      <c r="C16" s="155"/>
      <c r="D16" s="149" t="e">
        <f t="shared" si="0"/>
        <v>#N/A</v>
      </c>
      <c r="E16" s="150">
        <f>VLOOKUP(A16,'ORÇAMENTO_N DES'!$B:$P,14,0)</f>
        <v>13078.8</v>
      </c>
      <c r="F16" s="151">
        <f t="shared" si="1"/>
        <v>2179.8000000000002</v>
      </c>
      <c r="G16" s="152">
        <f>'CRONOGRAMA DES'!G18</f>
        <v>0.16666666666666669</v>
      </c>
      <c r="H16" s="153">
        <f t="shared" si="2"/>
        <v>0.16666666666666669</v>
      </c>
      <c r="I16" s="151" t="e">
        <f t="shared" si="8"/>
        <v>#REF!</v>
      </c>
      <c r="J16" s="152" t="e">
        <f>'CRONOGRAMA DES'!#REF!</f>
        <v>#REF!</v>
      </c>
      <c r="K16" s="153" t="e">
        <f t="shared" si="3"/>
        <v>#REF!</v>
      </c>
      <c r="L16" s="151" t="e">
        <f t="shared" si="9"/>
        <v>#REF!</v>
      </c>
      <c r="M16" s="152" t="e">
        <f>'CRONOGRAMA DES'!#REF!</f>
        <v>#REF!</v>
      </c>
      <c r="N16" s="153" t="e">
        <f t="shared" si="4"/>
        <v>#REF!</v>
      </c>
      <c r="O16" s="151" t="e">
        <f t="shared" si="10"/>
        <v>#REF!</v>
      </c>
      <c r="P16" s="152" t="e">
        <f>'CRONOGRAMA DES'!#REF!</f>
        <v>#REF!</v>
      </c>
      <c r="Q16" s="153" t="e">
        <f t="shared" si="5"/>
        <v>#REF!</v>
      </c>
      <c r="R16" s="151" t="e">
        <f t="shared" si="11"/>
        <v>#REF!</v>
      </c>
      <c r="S16" s="152" t="e">
        <f>'CRONOGRAMA DES'!#REF!</f>
        <v>#REF!</v>
      </c>
      <c r="T16" s="153" t="e">
        <f t="shared" si="6"/>
        <v>#REF!</v>
      </c>
      <c r="U16" s="151">
        <f t="shared" si="12"/>
        <v>2179.8000000000002</v>
      </c>
      <c r="V16" s="152">
        <f>'CRONOGRAMA DES'!V18</f>
        <v>0.16666666666666669</v>
      </c>
      <c r="W16" s="153" t="e">
        <f t="shared" si="7"/>
        <v>#REF!</v>
      </c>
      <c r="X16" s="154" t="e">
        <f t="shared" si="13"/>
        <v>#REF!</v>
      </c>
      <c r="Z16" s="1"/>
      <c r="AB16" s="1"/>
    </row>
    <row r="17" spans="1:28" x14ac:dyDescent="0.25">
      <c r="A17" s="142" t="s">
        <v>59</v>
      </c>
      <c r="B17" s="147" t="str">
        <f>VLOOKUP(A17,Tabela3[[ITEM]:[DESCRIÇÃO]],6,FALSE)</f>
        <v>SERVIÇOS COMPLEMENTARES</v>
      </c>
      <c r="C17" s="155"/>
      <c r="D17" s="149" t="e">
        <f t="shared" si="0"/>
        <v>#N/A</v>
      </c>
      <c r="E17" s="150">
        <f>VLOOKUP(A17,'ORÇAMENTO_N DES'!$B:$P,14,0)</f>
        <v>61199.060000000005</v>
      </c>
      <c r="F17" s="151">
        <f t="shared" si="1"/>
        <v>10199.843333333336</v>
      </c>
      <c r="G17" s="152">
        <f>'CRONOGRAMA DES'!G19</f>
        <v>0.16666666666666669</v>
      </c>
      <c r="H17" s="153">
        <f t="shared" si="2"/>
        <v>0.16666666666666669</v>
      </c>
      <c r="I17" s="151" t="e">
        <f t="shared" si="8"/>
        <v>#REF!</v>
      </c>
      <c r="J17" s="152" t="e">
        <f>'CRONOGRAMA DES'!#REF!</f>
        <v>#REF!</v>
      </c>
      <c r="K17" s="153" t="e">
        <f t="shared" si="3"/>
        <v>#REF!</v>
      </c>
      <c r="L17" s="151" t="e">
        <f t="shared" si="9"/>
        <v>#REF!</v>
      </c>
      <c r="M17" s="152" t="e">
        <f>'CRONOGRAMA DES'!#REF!</f>
        <v>#REF!</v>
      </c>
      <c r="N17" s="153" t="e">
        <f t="shared" si="4"/>
        <v>#REF!</v>
      </c>
      <c r="O17" s="151" t="e">
        <f t="shared" si="10"/>
        <v>#REF!</v>
      </c>
      <c r="P17" s="152" t="e">
        <f>'CRONOGRAMA DES'!#REF!</f>
        <v>#REF!</v>
      </c>
      <c r="Q17" s="153" t="e">
        <f t="shared" si="5"/>
        <v>#REF!</v>
      </c>
      <c r="R17" s="151" t="e">
        <f t="shared" si="11"/>
        <v>#REF!</v>
      </c>
      <c r="S17" s="152" t="e">
        <f>'CRONOGRAMA DES'!#REF!</f>
        <v>#REF!</v>
      </c>
      <c r="T17" s="153" t="e">
        <f t="shared" si="6"/>
        <v>#REF!</v>
      </c>
      <c r="U17" s="151">
        <f t="shared" si="12"/>
        <v>10199.843333333336</v>
      </c>
      <c r="V17" s="152">
        <f>'CRONOGRAMA DES'!V19</f>
        <v>0.16666666666666669</v>
      </c>
      <c r="W17" s="153" t="e">
        <f t="shared" si="7"/>
        <v>#REF!</v>
      </c>
      <c r="X17" s="154" t="e">
        <f t="shared" si="13"/>
        <v>#REF!</v>
      </c>
      <c r="Z17" s="1"/>
      <c r="AB17" s="1"/>
    </row>
    <row r="18" spans="1:28" x14ac:dyDescent="0.25">
      <c r="A18" s="142" t="s">
        <v>61</v>
      </c>
      <c r="B18" s="147" t="str">
        <f>VLOOKUP(A18,Tabela3[[ITEM]:[DESCRIÇÃO]],6,FALSE)</f>
        <v xml:space="preserve">ADMINISTRAÇÃO LOCAL </v>
      </c>
      <c r="C18" s="148"/>
      <c r="D18" s="149" t="e">
        <f t="shared" si="0"/>
        <v>#N/A</v>
      </c>
      <c r="E18" s="150">
        <f>VLOOKUP(A18,'ORÇAMENTO_N DES'!$B:$P,14,0)</f>
        <v>77367.02</v>
      </c>
      <c r="F18" s="151" t="e">
        <f t="shared" si="1"/>
        <v>#REF!</v>
      </c>
      <c r="G18" s="152" t="e">
        <f>'CRONOGRAMA DES'!#REF!</f>
        <v>#REF!</v>
      </c>
      <c r="H18" s="153" t="e">
        <f t="shared" si="2"/>
        <v>#REF!</v>
      </c>
      <c r="I18" s="151" t="e">
        <f t="shared" si="8"/>
        <v>#REF!</v>
      </c>
      <c r="J18" s="152" t="e">
        <f>'CRONOGRAMA DES'!#REF!</f>
        <v>#REF!</v>
      </c>
      <c r="K18" s="153" t="e">
        <f t="shared" si="3"/>
        <v>#REF!</v>
      </c>
      <c r="L18" s="151" t="e">
        <f t="shared" si="9"/>
        <v>#REF!</v>
      </c>
      <c r="M18" s="152" t="e">
        <f>'CRONOGRAMA DES'!#REF!</f>
        <v>#REF!</v>
      </c>
      <c r="N18" s="153" t="e">
        <f t="shared" si="4"/>
        <v>#REF!</v>
      </c>
      <c r="O18" s="151" t="e">
        <f t="shared" si="10"/>
        <v>#REF!</v>
      </c>
      <c r="P18" s="152" t="e">
        <f>'CRONOGRAMA DES'!#REF!</f>
        <v>#REF!</v>
      </c>
      <c r="Q18" s="153" t="e">
        <f t="shared" si="5"/>
        <v>#REF!</v>
      </c>
      <c r="R18" s="151" t="e">
        <f t="shared" si="11"/>
        <v>#REF!</v>
      </c>
      <c r="S18" s="152" t="e">
        <f>'CRONOGRAMA DES'!#REF!</f>
        <v>#REF!</v>
      </c>
      <c r="T18" s="153" t="e">
        <f t="shared" si="6"/>
        <v>#REF!</v>
      </c>
      <c r="U18" s="151" t="e">
        <f t="shared" si="12"/>
        <v>#REF!</v>
      </c>
      <c r="V18" s="152" t="e">
        <f>'CRONOGRAMA DES'!#REF!</f>
        <v>#REF!</v>
      </c>
      <c r="W18" s="153" t="e">
        <f t="shared" si="7"/>
        <v>#REF!</v>
      </c>
      <c r="X18" s="154" t="e">
        <f t="shared" si="13"/>
        <v>#REF!</v>
      </c>
      <c r="Z18" s="1"/>
      <c r="AB18" s="1"/>
    </row>
    <row r="19" spans="1:28" x14ac:dyDescent="0.25">
      <c r="A19" s="142" t="s">
        <v>118</v>
      </c>
      <c r="B19" s="147" t="str">
        <f>VLOOKUP(A19,Tabela3[[ITEM]:[DESCRIÇÃO]],6,FALSE)</f>
        <v xml:space="preserve">LIMPEZA FINAL </v>
      </c>
      <c r="C19" s="148"/>
      <c r="D19" s="149" t="e">
        <f t="shared" si="0"/>
        <v>#N/A</v>
      </c>
      <c r="E19" s="150">
        <f>VLOOKUP(A19,'ORÇAMENTO_N DES'!$B:$P,14,0)</f>
        <v>27004.95</v>
      </c>
      <c r="F19" s="151" t="e">
        <f t="shared" si="1"/>
        <v>#REF!</v>
      </c>
      <c r="G19" s="152" t="e">
        <f>'CRONOGRAMA DES'!#REF!</f>
        <v>#REF!</v>
      </c>
      <c r="H19" s="153" t="e">
        <f t="shared" si="2"/>
        <v>#REF!</v>
      </c>
      <c r="I19" s="151" t="e">
        <f t="shared" si="8"/>
        <v>#REF!</v>
      </c>
      <c r="J19" s="152" t="e">
        <f>'CRONOGRAMA DES'!#REF!</f>
        <v>#REF!</v>
      </c>
      <c r="K19" s="153" t="e">
        <f t="shared" si="3"/>
        <v>#REF!</v>
      </c>
      <c r="L19" s="151" t="e">
        <f t="shared" si="9"/>
        <v>#REF!</v>
      </c>
      <c r="M19" s="152" t="e">
        <f>'CRONOGRAMA DES'!#REF!</f>
        <v>#REF!</v>
      </c>
      <c r="N19" s="153" t="e">
        <f t="shared" si="4"/>
        <v>#REF!</v>
      </c>
      <c r="O19" s="151" t="e">
        <f t="shared" si="10"/>
        <v>#REF!</v>
      </c>
      <c r="P19" s="152" t="e">
        <f>'CRONOGRAMA DES'!#REF!</f>
        <v>#REF!</v>
      </c>
      <c r="Q19" s="153" t="e">
        <f t="shared" si="5"/>
        <v>#REF!</v>
      </c>
      <c r="R19" s="151" t="e">
        <f t="shared" si="11"/>
        <v>#REF!</v>
      </c>
      <c r="S19" s="152" t="e">
        <f>'CRONOGRAMA DES'!#REF!</f>
        <v>#REF!</v>
      </c>
      <c r="T19" s="153" t="e">
        <f t="shared" si="6"/>
        <v>#REF!</v>
      </c>
      <c r="U19" s="151" t="e">
        <f t="shared" si="12"/>
        <v>#REF!</v>
      </c>
      <c r="V19" s="152" t="e">
        <f>'CRONOGRAMA DES'!#REF!</f>
        <v>#REF!</v>
      </c>
      <c r="W19" s="153" t="e">
        <f t="shared" si="7"/>
        <v>#REF!</v>
      </c>
      <c r="X19" s="154" t="e">
        <f t="shared" si="13"/>
        <v>#REF!</v>
      </c>
      <c r="Z19" s="1"/>
      <c r="AB19" s="1"/>
    </row>
    <row r="20" spans="1:28" x14ac:dyDescent="0.25">
      <c r="A20" s="142" t="s">
        <v>119</v>
      </c>
      <c r="B20" s="147" t="e">
        <f>VLOOKUP(A20,Tabela3[[ITEM]:[DESCRIÇÃO]],6,FALSE)</f>
        <v>#N/A</v>
      </c>
      <c r="C20" s="155"/>
      <c r="D20" s="149" t="e">
        <f t="shared" si="0"/>
        <v>#N/A</v>
      </c>
      <c r="E20" s="150" t="e">
        <f>VLOOKUP(A20,'ORÇAMENTO_N DES'!$B:$P,14,0)</f>
        <v>#N/A</v>
      </c>
      <c r="F20" s="151" t="e">
        <f t="shared" si="1"/>
        <v>#REF!</v>
      </c>
      <c r="G20" s="152" t="e">
        <f>'CRONOGRAMA DES'!#REF!</f>
        <v>#REF!</v>
      </c>
      <c r="H20" s="153" t="e">
        <f t="shared" si="2"/>
        <v>#REF!</v>
      </c>
      <c r="I20" s="151" t="e">
        <f t="shared" si="8"/>
        <v>#REF!</v>
      </c>
      <c r="J20" s="152" t="e">
        <f>'CRONOGRAMA DES'!#REF!</f>
        <v>#REF!</v>
      </c>
      <c r="K20" s="153" t="e">
        <f t="shared" si="3"/>
        <v>#REF!</v>
      </c>
      <c r="L20" s="151" t="e">
        <f t="shared" si="9"/>
        <v>#REF!</v>
      </c>
      <c r="M20" s="152" t="e">
        <f>'CRONOGRAMA DES'!#REF!</f>
        <v>#REF!</v>
      </c>
      <c r="N20" s="153" t="e">
        <f t="shared" si="4"/>
        <v>#REF!</v>
      </c>
      <c r="O20" s="151" t="e">
        <f t="shared" si="10"/>
        <v>#REF!</v>
      </c>
      <c r="P20" s="152" t="e">
        <f>'CRONOGRAMA DES'!#REF!</f>
        <v>#REF!</v>
      </c>
      <c r="Q20" s="153" t="e">
        <f t="shared" si="5"/>
        <v>#REF!</v>
      </c>
      <c r="R20" s="151" t="e">
        <f t="shared" si="11"/>
        <v>#REF!</v>
      </c>
      <c r="S20" s="152" t="e">
        <f>'CRONOGRAMA DES'!#REF!</f>
        <v>#REF!</v>
      </c>
      <c r="T20" s="153" t="e">
        <f t="shared" si="6"/>
        <v>#REF!</v>
      </c>
      <c r="U20" s="151" t="e">
        <f t="shared" si="12"/>
        <v>#REF!</v>
      </c>
      <c r="V20" s="152" t="e">
        <f>'CRONOGRAMA DES'!#REF!</f>
        <v>#REF!</v>
      </c>
      <c r="W20" s="153" t="e">
        <f t="shared" si="7"/>
        <v>#REF!</v>
      </c>
      <c r="X20" s="154" t="e">
        <f t="shared" si="13"/>
        <v>#REF!</v>
      </c>
      <c r="Z20" s="1"/>
      <c r="AB20" s="1"/>
    </row>
    <row r="21" spans="1:28" x14ac:dyDescent="0.25">
      <c r="A21" s="142" t="s">
        <v>120</v>
      </c>
      <c r="B21" s="147" t="e">
        <f>VLOOKUP(A21,Tabela3[[ITEM]:[DESCRIÇÃO]],6,FALSE)</f>
        <v>#N/A</v>
      </c>
      <c r="C21" s="155"/>
      <c r="D21" s="149" t="e">
        <f t="shared" si="0"/>
        <v>#N/A</v>
      </c>
      <c r="E21" s="150" t="e">
        <f>VLOOKUP(A21,'ORÇAMENTO_N DES'!$B:$P,14,0)</f>
        <v>#N/A</v>
      </c>
      <c r="F21" s="151" t="e">
        <f t="shared" si="1"/>
        <v>#REF!</v>
      </c>
      <c r="G21" s="152" t="e">
        <f>'CRONOGRAMA DES'!#REF!</f>
        <v>#REF!</v>
      </c>
      <c r="H21" s="153" t="e">
        <f t="shared" si="2"/>
        <v>#REF!</v>
      </c>
      <c r="I21" s="151" t="e">
        <f t="shared" si="8"/>
        <v>#REF!</v>
      </c>
      <c r="J21" s="152" t="e">
        <f>'CRONOGRAMA DES'!#REF!</f>
        <v>#REF!</v>
      </c>
      <c r="K21" s="153" t="e">
        <f t="shared" si="3"/>
        <v>#REF!</v>
      </c>
      <c r="L21" s="151" t="e">
        <f t="shared" si="9"/>
        <v>#REF!</v>
      </c>
      <c r="M21" s="152" t="e">
        <f>'CRONOGRAMA DES'!#REF!</f>
        <v>#REF!</v>
      </c>
      <c r="N21" s="153" t="e">
        <f t="shared" si="4"/>
        <v>#REF!</v>
      </c>
      <c r="O21" s="151" t="e">
        <f t="shared" si="10"/>
        <v>#REF!</v>
      </c>
      <c r="P21" s="152" t="e">
        <f>'CRONOGRAMA DES'!#REF!</f>
        <v>#REF!</v>
      </c>
      <c r="Q21" s="153" t="e">
        <f t="shared" si="5"/>
        <v>#REF!</v>
      </c>
      <c r="R21" s="151" t="e">
        <f t="shared" si="11"/>
        <v>#REF!</v>
      </c>
      <c r="S21" s="152" t="e">
        <f>'CRONOGRAMA DES'!#REF!</f>
        <v>#REF!</v>
      </c>
      <c r="T21" s="153" t="e">
        <f t="shared" si="6"/>
        <v>#REF!</v>
      </c>
      <c r="U21" s="151" t="e">
        <f t="shared" si="12"/>
        <v>#REF!</v>
      </c>
      <c r="V21" s="152" t="e">
        <f>'CRONOGRAMA DES'!#REF!</f>
        <v>#REF!</v>
      </c>
      <c r="W21" s="153" t="e">
        <f t="shared" si="7"/>
        <v>#REF!</v>
      </c>
      <c r="X21" s="154" t="e">
        <f t="shared" si="13"/>
        <v>#REF!</v>
      </c>
      <c r="Z21" s="1"/>
      <c r="AB21" s="1"/>
    </row>
    <row r="22" spans="1:28" x14ac:dyDescent="0.25">
      <c r="A22" s="142" t="s">
        <v>122</v>
      </c>
      <c r="B22" s="147" t="e">
        <f>VLOOKUP(A22,Tabela3[[ITEM]:[DESCRIÇÃO]],6,FALSE)</f>
        <v>#N/A</v>
      </c>
      <c r="C22" s="155"/>
      <c r="D22" s="149" t="e">
        <f t="shared" si="0"/>
        <v>#N/A</v>
      </c>
      <c r="E22" s="150" t="e">
        <f>VLOOKUP(A22,'ORÇAMENTO_N DES'!$B:$P,14,0)</f>
        <v>#N/A</v>
      </c>
      <c r="F22" s="151" t="e">
        <f t="shared" si="1"/>
        <v>#REF!</v>
      </c>
      <c r="G22" s="152" t="e">
        <f>'CRONOGRAMA DES'!#REF!</f>
        <v>#REF!</v>
      </c>
      <c r="H22" s="153" t="e">
        <f t="shared" si="2"/>
        <v>#REF!</v>
      </c>
      <c r="I22" s="151" t="e">
        <f t="shared" si="8"/>
        <v>#REF!</v>
      </c>
      <c r="J22" s="152" t="e">
        <f>'CRONOGRAMA DES'!#REF!</f>
        <v>#REF!</v>
      </c>
      <c r="K22" s="153" t="e">
        <f t="shared" si="3"/>
        <v>#REF!</v>
      </c>
      <c r="L22" s="151" t="e">
        <f t="shared" si="9"/>
        <v>#REF!</v>
      </c>
      <c r="M22" s="152" t="e">
        <f>'CRONOGRAMA DES'!#REF!</f>
        <v>#REF!</v>
      </c>
      <c r="N22" s="153" t="e">
        <f t="shared" si="4"/>
        <v>#REF!</v>
      </c>
      <c r="O22" s="151" t="e">
        <f t="shared" si="10"/>
        <v>#REF!</v>
      </c>
      <c r="P22" s="152" t="e">
        <f>'CRONOGRAMA DES'!#REF!</f>
        <v>#REF!</v>
      </c>
      <c r="Q22" s="153" t="e">
        <f t="shared" si="5"/>
        <v>#REF!</v>
      </c>
      <c r="R22" s="151" t="e">
        <f t="shared" si="11"/>
        <v>#REF!</v>
      </c>
      <c r="S22" s="152" t="e">
        <f>'CRONOGRAMA DES'!#REF!</f>
        <v>#REF!</v>
      </c>
      <c r="T22" s="153" t="e">
        <f t="shared" si="6"/>
        <v>#REF!</v>
      </c>
      <c r="U22" s="151" t="e">
        <f t="shared" si="12"/>
        <v>#REF!</v>
      </c>
      <c r="V22" s="152" t="e">
        <f>'CRONOGRAMA DES'!#REF!</f>
        <v>#REF!</v>
      </c>
      <c r="W22" s="153" t="e">
        <f t="shared" si="7"/>
        <v>#REF!</v>
      </c>
      <c r="X22" s="154" t="e">
        <f t="shared" si="13"/>
        <v>#REF!</v>
      </c>
      <c r="Z22" s="1"/>
      <c r="AB22" s="1"/>
    </row>
    <row r="23" spans="1:28" x14ac:dyDescent="0.25">
      <c r="A23" s="142" t="s">
        <v>123</v>
      </c>
      <c r="B23" s="147" t="e">
        <f>VLOOKUP(A23,Tabela3[[ITEM]:[DESCRIÇÃO]],6,FALSE)</f>
        <v>#N/A</v>
      </c>
      <c r="C23" s="155"/>
      <c r="D23" s="149" t="e">
        <f t="shared" si="0"/>
        <v>#N/A</v>
      </c>
      <c r="E23" s="150" t="e">
        <f>VLOOKUP(A23,'ORÇAMENTO_N DES'!$B:$P,14,0)</f>
        <v>#N/A</v>
      </c>
      <c r="F23" s="151" t="e">
        <f t="shared" si="1"/>
        <v>#REF!</v>
      </c>
      <c r="G23" s="152" t="e">
        <f>'CRONOGRAMA DES'!#REF!</f>
        <v>#REF!</v>
      </c>
      <c r="H23" s="153" t="e">
        <f t="shared" si="2"/>
        <v>#REF!</v>
      </c>
      <c r="I23" s="151" t="e">
        <f t="shared" si="8"/>
        <v>#REF!</v>
      </c>
      <c r="J23" s="152" t="e">
        <f>'CRONOGRAMA DES'!#REF!</f>
        <v>#REF!</v>
      </c>
      <c r="K23" s="153" t="e">
        <f t="shared" si="3"/>
        <v>#REF!</v>
      </c>
      <c r="L23" s="151" t="e">
        <f t="shared" si="9"/>
        <v>#REF!</v>
      </c>
      <c r="M23" s="152" t="e">
        <f>'CRONOGRAMA DES'!#REF!</f>
        <v>#REF!</v>
      </c>
      <c r="N23" s="153" t="e">
        <f t="shared" si="4"/>
        <v>#REF!</v>
      </c>
      <c r="O23" s="151" t="e">
        <f t="shared" si="10"/>
        <v>#REF!</v>
      </c>
      <c r="P23" s="152" t="e">
        <f>'CRONOGRAMA DES'!#REF!</f>
        <v>#REF!</v>
      </c>
      <c r="Q23" s="153" t="e">
        <f t="shared" si="5"/>
        <v>#REF!</v>
      </c>
      <c r="R23" s="151" t="e">
        <f t="shared" si="11"/>
        <v>#REF!</v>
      </c>
      <c r="S23" s="152" t="e">
        <f>'CRONOGRAMA DES'!#REF!</f>
        <v>#REF!</v>
      </c>
      <c r="T23" s="153" t="e">
        <f t="shared" si="6"/>
        <v>#REF!</v>
      </c>
      <c r="U23" s="151" t="e">
        <f t="shared" si="12"/>
        <v>#REF!</v>
      </c>
      <c r="V23" s="152" t="e">
        <f>'CRONOGRAMA DES'!#REF!</f>
        <v>#REF!</v>
      </c>
      <c r="W23" s="153" t="e">
        <f t="shared" si="7"/>
        <v>#REF!</v>
      </c>
      <c r="X23" s="154" t="e">
        <f t="shared" si="13"/>
        <v>#REF!</v>
      </c>
      <c r="Z23" s="1"/>
      <c r="AB23" s="1"/>
    </row>
    <row r="24" spans="1:28" x14ac:dyDescent="0.25">
      <c r="A24" s="142" t="s">
        <v>124</v>
      </c>
      <c r="B24" s="147" t="e">
        <f>VLOOKUP(A24,Tabela3[[ITEM]:[DESCRIÇÃO]],6,FALSE)</f>
        <v>#N/A</v>
      </c>
      <c r="C24" s="155"/>
      <c r="D24" s="149" t="e">
        <f t="shared" si="0"/>
        <v>#N/A</v>
      </c>
      <c r="E24" s="150" t="e">
        <f>VLOOKUP(A24,'ORÇAMENTO_N DES'!$B:$P,14,0)</f>
        <v>#N/A</v>
      </c>
      <c r="F24" s="151" t="e">
        <f t="shared" si="1"/>
        <v>#REF!</v>
      </c>
      <c r="G24" s="152" t="e">
        <f>'CRONOGRAMA DES'!#REF!</f>
        <v>#REF!</v>
      </c>
      <c r="H24" s="153" t="e">
        <f t="shared" si="2"/>
        <v>#REF!</v>
      </c>
      <c r="I24" s="151" t="e">
        <f t="shared" si="8"/>
        <v>#REF!</v>
      </c>
      <c r="J24" s="152" t="e">
        <f>'CRONOGRAMA DES'!#REF!</f>
        <v>#REF!</v>
      </c>
      <c r="K24" s="153" t="e">
        <f t="shared" si="3"/>
        <v>#REF!</v>
      </c>
      <c r="L24" s="151" t="e">
        <f t="shared" si="9"/>
        <v>#REF!</v>
      </c>
      <c r="M24" s="152" t="e">
        <f>'CRONOGRAMA DES'!#REF!</f>
        <v>#REF!</v>
      </c>
      <c r="N24" s="153" t="e">
        <f t="shared" si="4"/>
        <v>#REF!</v>
      </c>
      <c r="O24" s="151" t="e">
        <f t="shared" si="10"/>
        <v>#REF!</v>
      </c>
      <c r="P24" s="152" t="e">
        <f>'CRONOGRAMA DES'!#REF!</f>
        <v>#REF!</v>
      </c>
      <c r="Q24" s="153" t="e">
        <f t="shared" si="5"/>
        <v>#REF!</v>
      </c>
      <c r="R24" s="151" t="e">
        <f t="shared" si="11"/>
        <v>#REF!</v>
      </c>
      <c r="S24" s="152" t="e">
        <f>'CRONOGRAMA DES'!#REF!</f>
        <v>#REF!</v>
      </c>
      <c r="T24" s="153" t="e">
        <f t="shared" si="6"/>
        <v>#REF!</v>
      </c>
      <c r="U24" s="151" t="e">
        <f t="shared" si="12"/>
        <v>#REF!</v>
      </c>
      <c r="V24" s="152" t="e">
        <f>'CRONOGRAMA DES'!#REF!</f>
        <v>#REF!</v>
      </c>
      <c r="W24" s="153" t="e">
        <f t="shared" si="7"/>
        <v>#REF!</v>
      </c>
      <c r="X24" s="154" t="e">
        <f t="shared" si="13"/>
        <v>#REF!</v>
      </c>
      <c r="Z24" s="1"/>
      <c r="AB24" s="1"/>
    </row>
    <row r="25" spans="1:28" x14ac:dyDescent="0.25">
      <c r="A25" s="142" t="s">
        <v>132</v>
      </c>
      <c r="B25" s="147" t="e">
        <f>VLOOKUP(A25,Tabela3[[ITEM]:[DESCRIÇÃO]],6,FALSE)</f>
        <v>#N/A</v>
      </c>
      <c r="C25" s="155"/>
      <c r="D25" s="149" t="e">
        <f t="shared" si="0"/>
        <v>#N/A</v>
      </c>
      <c r="E25" s="150" t="e">
        <f>VLOOKUP(A25,'ORÇAMENTO_N DES'!$B:$P,14,0)</f>
        <v>#N/A</v>
      </c>
      <c r="F25" s="151" t="e">
        <f t="shared" si="1"/>
        <v>#REF!</v>
      </c>
      <c r="G25" s="152" t="e">
        <f>'CRONOGRAMA DES'!#REF!</f>
        <v>#REF!</v>
      </c>
      <c r="H25" s="153" t="e">
        <f t="shared" si="2"/>
        <v>#REF!</v>
      </c>
      <c r="I25" s="151" t="e">
        <f t="shared" si="8"/>
        <v>#REF!</v>
      </c>
      <c r="J25" s="152" t="e">
        <f>'CRONOGRAMA DES'!#REF!</f>
        <v>#REF!</v>
      </c>
      <c r="K25" s="153" t="e">
        <f t="shared" si="3"/>
        <v>#REF!</v>
      </c>
      <c r="L25" s="151" t="e">
        <f t="shared" si="9"/>
        <v>#REF!</v>
      </c>
      <c r="M25" s="152" t="e">
        <f>'CRONOGRAMA DES'!#REF!</f>
        <v>#REF!</v>
      </c>
      <c r="N25" s="153" t="e">
        <f t="shared" si="4"/>
        <v>#REF!</v>
      </c>
      <c r="O25" s="151" t="e">
        <f t="shared" si="10"/>
        <v>#REF!</v>
      </c>
      <c r="P25" s="152" t="e">
        <f>'CRONOGRAMA DES'!#REF!</f>
        <v>#REF!</v>
      </c>
      <c r="Q25" s="153" t="e">
        <f t="shared" si="5"/>
        <v>#REF!</v>
      </c>
      <c r="R25" s="151" t="e">
        <f t="shared" si="11"/>
        <v>#REF!</v>
      </c>
      <c r="S25" s="152" t="e">
        <f>'CRONOGRAMA DES'!#REF!</f>
        <v>#REF!</v>
      </c>
      <c r="T25" s="153" t="e">
        <f t="shared" si="6"/>
        <v>#REF!</v>
      </c>
      <c r="U25" s="151" t="e">
        <f t="shared" si="12"/>
        <v>#REF!</v>
      </c>
      <c r="V25" s="152" t="e">
        <f>'CRONOGRAMA DES'!#REF!</f>
        <v>#REF!</v>
      </c>
      <c r="W25" s="153" t="e">
        <f t="shared" si="7"/>
        <v>#REF!</v>
      </c>
      <c r="X25" s="154" t="e">
        <f t="shared" si="13"/>
        <v>#REF!</v>
      </c>
      <c r="Z25" s="1"/>
      <c r="AB25" s="1"/>
    </row>
    <row r="26" spans="1:28" x14ac:dyDescent="0.25">
      <c r="A26" s="142" t="s">
        <v>138</v>
      </c>
      <c r="B26" s="147" t="e">
        <f>VLOOKUP(A26,Tabela3[[ITEM]:[DESCRIÇÃO]],6,FALSE)</f>
        <v>#N/A</v>
      </c>
      <c r="C26" s="155"/>
      <c r="D26" s="149" t="e">
        <f t="shared" si="0"/>
        <v>#N/A</v>
      </c>
      <c r="E26" s="150" t="e">
        <f>VLOOKUP(A26,'ORÇAMENTO_N DES'!$B:$P,14,0)</f>
        <v>#N/A</v>
      </c>
      <c r="F26" s="151" t="e">
        <f t="shared" si="1"/>
        <v>#REF!</v>
      </c>
      <c r="G26" s="152" t="e">
        <f>'CRONOGRAMA DES'!#REF!</f>
        <v>#REF!</v>
      </c>
      <c r="H26" s="153" t="e">
        <f t="shared" si="2"/>
        <v>#REF!</v>
      </c>
      <c r="I26" s="151" t="e">
        <f t="shared" si="8"/>
        <v>#REF!</v>
      </c>
      <c r="J26" s="152" t="e">
        <f>'CRONOGRAMA DES'!#REF!</f>
        <v>#REF!</v>
      </c>
      <c r="K26" s="153" t="e">
        <f t="shared" si="3"/>
        <v>#REF!</v>
      </c>
      <c r="L26" s="151" t="e">
        <f t="shared" si="9"/>
        <v>#REF!</v>
      </c>
      <c r="M26" s="152" t="e">
        <f>'CRONOGRAMA DES'!#REF!</f>
        <v>#REF!</v>
      </c>
      <c r="N26" s="153" t="e">
        <f t="shared" si="4"/>
        <v>#REF!</v>
      </c>
      <c r="O26" s="151" t="e">
        <f t="shared" si="10"/>
        <v>#REF!</v>
      </c>
      <c r="P26" s="152" t="e">
        <f>'CRONOGRAMA DES'!#REF!</f>
        <v>#REF!</v>
      </c>
      <c r="Q26" s="153" t="e">
        <f t="shared" si="5"/>
        <v>#REF!</v>
      </c>
      <c r="R26" s="151" t="e">
        <f t="shared" si="11"/>
        <v>#REF!</v>
      </c>
      <c r="S26" s="152" t="e">
        <f>'CRONOGRAMA DES'!#REF!</f>
        <v>#REF!</v>
      </c>
      <c r="T26" s="153" t="e">
        <f t="shared" si="6"/>
        <v>#REF!</v>
      </c>
      <c r="U26" s="151" t="e">
        <f t="shared" si="12"/>
        <v>#REF!</v>
      </c>
      <c r="V26" s="152" t="e">
        <f>'CRONOGRAMA DES'!#REF!</f>
        <v>#REF!</v>
      </c>
      <c r="W26" s="153" t="e">
        <f t="shared" si="7"/>
        <v>#REF!</v>
      </c>
      <c r="X26" s="154" t="e">
        <f t="shared" si="13"/>
        <v>#REF!</v>
      </c>
      <c r="Z26" s="1"/>
      <c r="AB26" s="1"/>
    </row>
    <row r="27" spans="1:28" x14ac:dyDescent="0.25">
      <c r="A27" s="142" t="s">
        <v>139</v>
      </c>
      <c r="B27" s="147" t="e">
        <f>VLOOKUP(A27,Tabela3[[ITEM]:[DESCRIÇÃO]],6,FALSE)</f>
        <v>#N/A</v>
      </c>
      <c r="C27" s="155"/>
      <c r="D27" s="149" t="e">
        <f t="shared" si="0"/>
        <v>#N/A</v>
      </c>
      <c r="E27" s="150" t="e">
        <f>VLOOKUP(A27,'ORÇAMENTO_N DES'!$B:$P,14,0)</f>
        <v>#N/A</v>
      </c>
      <c r="F27" s="151" t="e">
        <f t="shared" si="1"/>
        <v>#REF!</v>
      </c>
      <c r="G27" s="152" t="e">
        <f>'CRONOGRAMA DES'!#REF!</f>
        <v>#REF!</v>
      </c>
      <c r="H27" s="153" t="e">
        <f t="shared" si="2"/>
        <v>#REF!</v>
      </c>
      <c r="I27" s="151" t="e">
        <f t="shared" si="8"/>
        <v>#REF!</v>
      </c>
      <c r="J27" s="152" t="e">
        <f>'CRONOGRAMA DES'!#REF!</f>
        <v>#REF!</v>
      </c>
      <c r="K27" s="153" t="e">
        <f t="shared" si="3"/>
        <v>#REF!</v>
      </c>
      <c r="L27" s="151" t="e">
        <f t="shared" si="9"/>
        <v>#REF!</v>
      </c>
      <c r="M27" s="152" t="e">
        <f>'CRONOGRAMA DES'!#REF!</f>
        <v>#REF!</v>
      </c>
      <c r="N27" s="153" t="e">
        <f t="shared" si="4"/>
        <v>#REF!</v>
      </c>
      <c r="O27" s="151" t="e">
        <f t="shared" si="10"/>
        <v>#REF!</v>
      </c>
      <c r="P27" s="152" t="e">
        <f>'CRONOGRAMA DES'!#REF!</f>
        <v>#REF!</v>
      </c>
      <c r="Q27" s="153" t="e">
        <f t="shared" si="5"/>
        <v>#REF!</v>
      </c>
      <c r="R27" s="151" t="e">
        <f t="shared" si="11"/>
        <v>#REF!</v>
      </c>
      <c r="S27" s="152" t="e">
        <f>'CRONOGRAMA DES'!#REF!</f>
        <v>#REF!</v>
      </c>
      <c r="T27" s="153" t="e">
        <f t="shared" si="6"/>
        <v>#REF!</v>
      </c>
      <c r="U27" s="151" t="e">
        <f t="shared" si="12"/>
        <v>#REF!</v>
      </c>
      <c r="V27" s="152" t="e">
        <f>'CRONOGRAMA DES'!#REF!</f>
        <v>#REF!</v>
      </c>
      <c r="W27" s="153" t="e">
        <f t="shared" si="7"/>
        <v>#REF!</v>
      </c>
      <c r="X27" s="154" t="e">
        <f t="shared" si="13"/>
        <v>#REF!</v>
      </c>
      <c r="Z27" s="1"/>
      <c r="AB27" s="1"/>
    </row>
    <row r="28" spans="1:28" x14ac:dyDescent="0.25">
      <c r="A28" s="142" t="s">
        <v>140</v>
      </c>
      <c r="B28" s="147" t="e">
        <f>VLOOKUP(A28,Tabela3[[ITEM]:[DESCRIÇÃO]],6,FALSE)</f>
        <v>#N/A</v>
      </c>
      <c r="C28" s="155"/>
      <c r="D28" s="149" t="e">
        <f t="shared" si="0"/>
        <v>#N/A</v>
      </c>
      <c r="E28" s="150" t="e">
        <f>VLOOKUP(A28,'ORÇAMENTO_N DES'!$B:$P,14,0)</f>
        <v>#N/A</v>
      </c>
      <c r="F28" s="151" t="e">
        <f t="shared" si="1"/>
        <v>#REF!</v>
      </c>
      <c r="G28" s="152" t="e">
        <f>'CRONOGRAMA DES'!#REF!</f>
        <v>#REF!</v>
      </c>
      <c r="H28" s="153" t="e">
        <f t="shared" si="2"/>
        <v>#REF!</v>
      </c>
      <c r="I28" s="151" t="e">
        <f t="shared" si="8"/>
        <v>#REF!</v>
      </c>
      <c r="J28" s="152" t="e">
        <f>'CRONOGRAMA DES'!#REF!</f>
        <v>#REF!</v>
      </c>
      <c r="K28" s="153" t="e">
        <f t="shared" si="3"/>
        <v>#REF!</v>
      </c>
      <c r="L28" s="151" t="e">
        <f t="shared" si="9"/>
        <v>#REF!</v>
      </c>
      <c r="M28" s="152" t="e">
        <f>'CRONOGRAMA DES'!#REF!</f>
        <v>#REF!</v>
      </c>
      <c r="N28" s="153" t="e">
        <f t="shared" si="4"/>
        <v>#REF!</v>
      </c>
      <c r="O28" s="151" t="e">
        <f t="shared" si="10"/>
        <v>#REF!</v>
      </c>
      <c r="P28" s="152" t="e">
        <f>'CRONOGRAMA DES'!#REF!</f>
        <v>#REF!</v>
      </c>
      <c r="Q28" s="153" t="e">
        <f t="shared" si="5"/>
        <v>#REF!</v>
      </c>
      <c r="R28" s="151" t="e">
        <f t="shared" si="11"/>
        <v>#REF!</v>
      </c>
      <c r="S28" s="152" t="e">
        <f>'CRONOGRAMA DES'!#REF!</f>
        <v>#REF!</v>
      </c>
      <c r="T28" s="153" t="e">
        <f t="shared" si="6"/>
        <v>#REF!</v>
      </c>
      <c r="U28" s="151" t="e">
        <f t="shared" si="12"/>
        <v>#REF!</v>
      </c>
      <c r="V28" s="152" t="e">
        <f>'CRONOGRAMA DES'!#REF!</f>
        <v>#REF!</v>
      </c>
      <c r="W28" s="153" t="e">
        <f t="shared" si="7"/>
        <v>#REF!</v>
      </c>
      <c r="X28" s="154" t="e">
        <f t="shared" si="13"/>
        <v>#REF!</v>
      </c>
      <c r="Z28" s="1"/>
      <c r="AB28" s="1"/>
    </row>
    <row r="29" spans="1:28" x14ac:dyDescent="0.25">
      <c r="A29" s="142" t="s">
        <v>252</v>
      </c>
      <c r="B29" s="147" t="e">
        <f>VLOOKUP(A29,Tabela3[[ITEM]:[DESCRIÇÃO]],6,FALSE)</f>
        <v>#N/A</v>
      </c>
      <c r="C29" s="155"/>
      <c r="D29" s="149" t="e">
        <f t="shared" si="0"/>
        <v>#N/A</v>
      </c>
      <c r="E29" s="150" t="e">
        <f>VLOOKUP(A29,'ORÇAMENTO_N DES'!$B:$P,14,0)</f>
        <v>#N/A</v>
      </c>
      <c r="F29" s="151" t="e">
        <f t="shared" si="1"/>
        <v>#REF!</v>
      </c>
      <c r="G29" s="152" t="e">
        <f>'CRONOGRAMA DES'!#REF!</f>
        <v>#REF!</v>
      </c>
      <c r="H29" s="153" t="e">
        <f t="shared" si="2"/>
        <v>#REF!</v>
      </c>
      <c r="I29" s="151" t="e">
        <f t="shared" si="8"/>
        <v>#REF!</v>
      </c>
      <c r="J29" s="152" t="e">
        <f>'CRONOGRAMA DES'!#REF!</f>
        <v>#REF!</v>
      </c>
      <c r="K29" s="153" t="e">
        <f t="shared" si="3"/>
        <v>#REF!</v>
      </c>
      <c r="L29" s="151" t="e">
        <f t="shared" si="9"/>
        <v>#REF!</v>
      </c>
      <c r="M29" s="152" t="e">
        <f>'CRONOGRAMA DES'!#REF!</f>
        <v>#REF!</v>
      </c>
      <c r="N29" s="153" t="e">
        <f t="shared" si="4"/>
        <v>#REF!</v>
      </c>
      <c r="O29" s="151" t="e">
        <f t="shared" si="10"/>
        <v>#REF!</v>
      </c>
      <c r="P29" s="152" t="e">
        <f>'CRONOGRAMA DES'!#REF!</f>
        <v>#REF!</v>
      </c>
      <c r="Q29" s="153" t="e">
        <f t="shared" si="5"/>
        <v>#REF!</v>
      </c>
      <c r="R29" s="151" t="e">
        <f t="shared" si="11"/>
        <v>#REF!</v>
      </c>
      <c r="S29" s="152" t="e">
        <f>'CRONOGRAMA DES'!#REF!</f>
        <v>#REF!</v>
      </c>
      <c r="T29" s="153" t="e">
        <f t="shared" si="6"/>
        <v>#REF!</v>
      </c>
      <c r="U29" s="151" t="e">
        <f t="shared" si="12"/>
        <v>#REF!</v>
      </c>
      <c r="V29" s="152" t="e">
        <f>'CRONOGRAMA DES'!#REF!</f>
        <v>#REF!</v>
      </c>
      <c r="W29" s="153" t="e">
        <f t="shared" si="7"/>
        <v>#REF!</v>
      </c>
      <c r="X29" s="154" t="e">
        <f t="shared" si="13"/>
        <v>#REF!</v>
      </c>
      <c r="Z29" s="1"/>
      <c r="AB29" s="1"/>
    </row>
    <row r="30" spans="1:28" x14ac:dyDescent="0.25">
      <c r="A30" s="142" t="s">
        <v>141</v>
      </c>
      <c r="B30" s="147" t="e">
        <f>VLOOKUP(A30,Tabela3[[ITEM]:[DESCRIÇÃO]],6,FALSE)</f>
        <v>#N/A</v>
      </c>
      <c r="C30" s="155"/>
      <c r="D30" s="149" t="e">
        <f t="shared" si="0"/>
        <v>#N/A</v>
      </c>
      <c r="E30" s="150" t="e">
        <f>VLOOKUP(A30,'ORÇAMENTO_N DES'!$B:$P,14,0)</f>
        <v>#N/A</v>
      </c>
      <c r="F30" s="151" t="e">
        <f t="shared" si="1"/>
        <v>#REF!</v>
      </c>
      <c r="G30" s="152" t="e">
        <f>'CRONOGRAMA DES'!#REF!</f>
        <v>#REF!</v>
      </c>
      <c r="H30" s="153" t="e">
        <f t="shared" si="2"/>
        <v>#REF!</v>
      </c>
      <c r="I30" s="151" t="e">
        <f t="shared" si="8"/>
        <v>#REF!</v>
      </c>
      <c r="J30" s="152" t="e">
        <f>'CRONOGRAMA DES'!#REF!</f>
        <v>#REF!</v>
      </c>
      <c r="K30" s="153" t="e">
        <f t="shared" si="3"/>
        <v>#REF!</v>
      </c>
      <c r="L30" s="151" t="e">
        <f t="shared" si="9"/>
        <v>#REF!</v>
      </c>
      <c r="M30" s="152" t="e">
        <f>'CRONOGRAMA DES'!#REF!</f>
        <v>#REF!</v>
      </c>
      <c r="N30" s="153" t="e">
        <f t="shared" si="4"/>
        <v>#REF!</v>
      </c>
      <c r="O30" s="151" t="e">
        <f t="shared" si="10"/>
        <v>#REF!</v>
      </c>
      <c r="P30" s="152" t="e">
        <f>'CRONOGRAMA DES'!#REF!</f>
        <v>#REF!</v>
      </c>
      <c r="Q30" s="153" t="e">
        <f t="shared" si="5"/>
        <v>#REF!</v>
      </c>
      <c r="R30" s="151" t="e">
        <f t="shared" si="11"/>
        <v>#REF!</v>
      </c>
      <c r="S30" s="152" t="e">
        <f>'CRONOGRAMA DES'!#REF!</f>
        <v>#REF!</v>
      </c>
      <c r="T30" s="153" t="e">
        <f t="shared" si="6"/>
        <v>#REF!</v>
      </c>
      <c r="U30" s="151" t="e">
        <f t="shared" si="12"/>
        <v>#REF!</v>
      </c>
      <c r="V30" s="152" t="e">
        <f>'CRONOGRAMA DES'!#REF!</f>
        <v>#REF!</v>
      </c>
      <c r="W30" s="153" t="e">
        <f t="shared" si="7"/>
        <v>#REF!</v>
      </c>
      <c r="X30" s="154" t="e">
        <f t="shared" si="13"/>
        <v>#REF!</v>
      </c>
      <c r="Z30" s="1"/>
      <c r="AB30" s="1"/>
    </row>
    <row r="31" spans="1:28" x14ac:dyDescent="0.25">
      <c r="A31" s="142" t="s">
        <v>142</v>
      </c>
      <c r="B31" s="147" t="e">
        <f>VLOOKUP(A31,Tabela3[[ITEM]:[DESCRIÇÃO]],6,FALSE)</f>
        <v>#N/A</v>
      </c>
      <c r="C31" s="155"/>
      <c r="D31" s="149" t="e">
        <f t="shared" si="0"/>
        <v>#N/A</v>
      </c>
      <c r="E31" s="150" t="e">
        <f>VLOOKUP(A31,'ORÇAMENTO_N DES'!$B:$P,14,0)</f>
        <v>#N/A</v>
      </c>
      <c r="F31" s="151" t="e">
        <f t="shared" si="1"/>
        <v>#REF!</v>
      </c>
      <c r="G31" s="152" t="e">
        <f>'CRONOGRAMA DES'!#REF!</f>
        <v>#REF!</v>
      </c>
      <c r="H31" s="153" t="e">
        <f t="shared" si="2"/>
        <v>#REF!</v>
      </c>
      <c r="I31" s="151" t="e">
        <f t="shared" si="8"/>
        <v>#REF!</v>
      </c>
      <c r="J31" s="152" t="e">
        <f>'CRONOGRAMA DES'!#REF!</f>
        <v>#REF!</v>
      </c>
      <c r="K31" s="153" t="e">
        <f t="shared" si="3"/>
        <v>#REF!</v>
      </c>
      <c r="L31" s="151" t="e">
        <f t="shared" si="9"/>
        <v>#REF!</v>
      </c>
      <c r="M31" s="152" t="e">
        <f>'CRONOGRAMA DES'!#REF!</f>
        <v>#REF!</v>
      </c>
      <c r="N31" s="153" t="e">
        <f t="shared" si="4"/>
        <v>#REF!</v>
      </c>
      <c r="O31" s="151" t="e">
        <f t="shared" si="10"/>
        <v>#REF!</v>
      </c>
      <c r="P31" s="152" t="e">
        <f>'CRONOGRAMA DES'!#REF!</f>
        <v>#REF!</v>
      </c>
      <c r="Q31" s="153" t="e">
        <f t="shared" si="5"/>
        <v>#REF!</v>
      </c>
      <c r="R31" s="151" t="e">
        <f t="shared" si="11"/>
        <v>#REF!</v>
      </c>
      <c r="S31" s="152" t="e">
        <f>'CRONOGRAMA DES'!#REF!</f>
        <v>#REF!</v>
      </c>
      <c r="T31" s="153" t="e">
        <f t="shared" si="6"/>
        <v>#REF!</v>
      </c>
      <c r="U31" s="151" t="e">
        <f t="shared" si="12"/>
        <v>#REF!</v>
      </c>
      <c r="V31" s="152" t="e">
        <f>'CRONOGRAMA DES'!#REF!</f>
        <v>#REF!</v>
      </c>
      <c r="W31" s="153" t="e">
        <f t="shared" si="7"/>
        <v>#REF!</v>
      </c>
      <c r="X31" s="154" t="e">
        <f t="shared" si="13"/>
        <v>#REF!</v>
      </c>
      <c r="Z31" s="1"/>
      <c r="AB31" s="1"/>
    </row>
    <row r="32" spans="1:28" x14ac:dyDescent="0.25">
      <c r="A32" s="142" t="s">
        <v>395</v>
      </c>
      <c r="B32" s="147" t="e">
        <f>VLOOKUP(A32,Tabela3[[ITEM]:[DESCRIÇÃO]],6,FALSE)</f>
        <v>#N/A</v>
      </c>
      <c r="C32" s="155"/>
      <c r="D32" s="149" t="e">
        <f t="shared" si="0"/>
        <v>#N/A</v>
      </c>
      <c r="E32" s="150" t="e">
        <f>VLOOKUP(A32,'ORÇAMENTO_N DES'!$B:$P,14,0)</f>
        <v>#N/A</v>
      </c>
      <c r="F32" s="151" t="e">
        <f t="shared" si="1"/>
        <v>#REF!</v>
      </c>
      <c r="G32" s="152" t="e">
        <f>'CRONOGRAMA DES'!#REF!</f>
        <v>#REF!</v>
      </c>
      <c r="H32" s="153" t="e">
        <f t="shared" si="2"/>
        <v>#REF!</v>
      </c>
      <c r="I32" s="151" t="e">
        <f t="shared" si="8"/>
        <v>#REF!</v>
      </c>
      <c r="J32" s="152" t="e">
        <f>'CRONOGRAMA DES'!#REF!</f>
        <v>#REF!</v>
      </c>
      <c r="K32" s="153" t="e">
        <f t="shared" si="3"/>
        <v>#REF!</v>
      </c>
      <c r="L32" s="151" t="e">
        <f t="shared" si="9"/>
        <v>#REF!</v>
      </c>
      <c r="M32" s="152" t="e">
        <f>'CRONOGRAMA DES'!#REF!</f>
        <v>#REF!</v>
      </c>
      <c r="N32" s="153" t="e">
        <f t="shared" si="4"/>
        <v>#REF!</v>
      </c>
      <c r="O32" s="151" t="e">
        <f t="shared" si="10"/>
        <v>#REF!</v>
      </c>
      <c r="P32" s="152" t="e">
        <f>'CRONOGRAMA DES'!#REF!</f>
        <v>#REF!</v>
      </c>
      <c r="Q32" s="153" t="e">
        <f t="shared" si="5"/>
        <v>#REF!</v>
      </c>
      <c r="R32" s="151" t="e">
        <f t="shared" si="11"/>
        <v>#REF!</v>
      </c>
      <c r="S32" s="152" t="e">
        <f>'CRONOGRAMA DES'!#REF!</f>
        <v>#REF!</v>
      </c>
      <c r="T32" s="153" t="e">
        <f t="shared" si="6"/>
        <v>#REF!</v>
      </c>
      <c r="U32" s="151" t="e">
        <f t="shared" si="12"/>
        <v>#REF!</v>
      </c>
      <c r="V32" s="152" t="e">
        <f>'CRONOGRAMA DES'!#REF!</f>
        <v>#REF!</v>
      </c>
      <c r="W32" s="153" t="e">
        <f t="shared" si="7"/>
        <v>#REF!</v>
      </c>
      <c r="X32" s="154" t="e">
        <f t="shared" si="13"/>
        <v>#REF!</v>
      </c>
      <c r="Z32" s="1"/>
      <c r="AB32" s="1"/>
    </row>
    <row r="33" spans="1:28" x14ac:dyDescent="0.25">
      <c r="A33" s="142" t="s">
        <v>565</v>
      </c>
      <c r="B33" s="147" t="e">
        <f>VLOOKUP(A33,Tabela3[[ITEM]:[DESCRIÇÃO]],6,FALSE)</f>
        <v>#N/A</v>
      </c>
      <c r="C33" s="155"/>
      <c r="D33" s="149" t="e">
        <f t="shared" si="0"/>
        <v>#N/A</v>
      </c>
      <c r="E33" s="150" t="e">
        <f>VLOOKUP(A33,'ORÇAMENTO_N DES'!$B:$P,14,0)</f>
        <v>#N/A</v>
      </c>
      <c r="F33" s="151" t="e">
        <f t="shared" si="1"/>
        <v>#REF!</v>
      </c>
      <c r="G33" s="152" t="e">
        <f>'CRONOGRAMA DES'!#REF!</f>
        <v>#REF!</v>
      </c>
      <c r="H33" s="153" t="e">
        <f t="shared" si="2"/>
        <v>#REF!</v>
      </c>
      <c r="I33" s="151" t="e">
        <f t="shared" si="8"/>
        <v>#REF!</v>
      </c>
      <c r="J33" s="152" t="e">
        <f>'CRONOGRAMA DES'!#REF!</f>
        <v>#REF!</v>
      </c>
      <c r="K33" s="153" t="e">
        <f t="shared" si="3"/>
        <v>#REF!</v>
      </c>
      <c r="L33" s="151" t="e">
        <f t="shared" si="9"/>
        <v>#REF!</v>
      </c>
      <c r="M33" s="152" t="e">
        <f>'CRONOGRAMA DES'!#REF!</f>
        <v>#REF!</v>
      </c>
      <c r="N33" s="153" t="e">
        <f t="shared" si="4"/>
        <v>#REF!</v>
      </c>
      <c r="O33" s="151" t="e">
        <f t="shared" si="10"/>
        <v>#REF!</v>
      </c>
      <c r="P33" s="152" t="e">
        <f>'CRONOGRAMA DES'!#REF!</f>
        <v>#REF!</v>
      </c>
      <c r="Q33" s="153" t="e">
        <f t="shared" si="5"/>
        <v>#REF!</v>
      </c>
      <c r="R33" s="151" t="e">
        <f t="shared" si="11"/>
        <v>#REF!</v>
      </c>
      <c r="S33" s="152" t="e">
        <f>'CRONOGRAMA DES'!#REF!</f>
        <v>#REF!</v>
      </c>
      <c r="T33" s="153" t="e">
        <f t="shared" si="6"/>
        <v>#REF!</v>
      </c>
      <c r="U33" s="151" t="e">
        <f t="shared" si="12"/>
        <v>#REF!</v>
      </c>
      <c r="V33" s="152" t="e">
        <f>'CRONOGRAMA DES'!#REF!</f>
        <v>#REF!</v>
      </c>
      <c r="W33" s="153" t="e">
        <f t="shared" si="7"/>
        <v>#REF!</v>
      </c>
      <c r="X33" s="154" t="e">
        <f t="shared" si="13"/>
        <v>#REF!</v>
      </c>
      <c r="Z33" s="1"/>
      <c r="AB33" s="1"/>
    </row>
    <row r="34" spans="1:28" x14ac:dyDescent="0.25">
      <c r="A34" s="142" t="s">
        <v>566</v>
      </c>
      <c r="B34" s="147" t="e">
        <f>VLOOKUP(A34,Tabela3[[ITEM]:[DESCRIÇÃO]],6,FALSE)</f>
        <v>#N/A</v>
      </c>
      <c r="C34" s="155"/>
      <c r="D34" s="149" t="e">
        <f t="shared" si="0"/>
        <v>#N/A</v>
      </c>
      <c r="E34" s="150" t="e">
        <f>VLOOKUP(A34,'ORÇAMENTO_N DES'!$B:$P,14,0)</f>
        <v>#N/A</v>
      </c>
      <c r="F34" s="151" t="e">
        <f t="shared" si="1"/>
        <v>#REF!</v>
      </c>
      <c r="G34" s="152" t="e">
        <f>'CRONOGRAMA DES'!#REF!</f>
        <v>#REF!</v>
      </c>
      <c r="H34" s="153" t="e">
        <f>G34</f>
        <v>#REF!</v>
      </c>
      <c r="I34" s="151" t="e">
        <f t="shared" si="8"/>
        <v>#REF!</v>
      </c>
      <c r="J34" s="152" t="e">
        <f>'CRONOGRAMA DES'!#REF!</f>
        <v>#REF!</v>
      </c>
      <c r="K34" s="153" t="e">
        <f t="shared" si="3"/>
        <v>#REF!</v>
      </c>
      <c r="L34" s="151" t="e">
        <f t="shared" si="9"/>
        <v>#REF!</v>
      </c>
      <c r="M34" s="152" t="e">
        <f>'CRONOGRAMA DES'!#REF!</f>
        <v>#REF!</v>
      </c>
      <c r="N34" s="153" t="e">
        <f>M34+K34</f>
        <v>#REF!</v>
      </c>
      <c r="O34" s="151" t="e">
        <f t="shared" si="10"/>
        <v>#REF!</v>
      </c>
      <c r="P34" s="152" t="e">
        <f>'CRONOGRAMA DES'!#REF!</f>
        <v>#REF!</v>
      </c>
      <c r="Q34" s="153" t="e">
        <f>P34+N34</f>
        <v>#REF!</v>
      </c>
      <c r="R34" s="151" t="e">
        <f t="shared" si="11"/>
        <v>#REF!</v>
      </c>
      <c r="S34" s="152" t="e">
        <f>'CRONOGRAMA DES'!#REF!</f>
        <v>#REF!</v>
      </c>
      <c r="T34" s="153" t="e">
        <f>S34+Q34</f>
        <v>#REF!</v>
      </c>
      <c r="U34" s="151" t="e">
        <f t="shared" si="12"/>
        <v>#REF!</v>
      </c>
      <c r="V34" s="152" t="e">
        <f>'CRONOGRAMA DES'!#REF!</f>
        <v>#REF!</v>
      </c>
      <c r="W34" s="153" t="e">
        <f>V34+T34</f>
        <v>#REF!</v>
      </c>
      <c r="X34" s="154" t="e">
        <f t="shared" si="13"/>
        <v>#REF!</v>
      </c>
      <c r="Z34" s="1"/>
      <c r="AB34" s="1"/>
    </row>
    <row r="35" spans="1:28" x14ac:dyDescent="0.25">
      <c r="A35" s="142" t="s">
        <v>567</v>
      </c>
      <c r="B35" s="147" t="e">
        <f>VLOOKUP(A35,Tabela3[[ITEM]:[DESCRIÇÃO]],6,FALSE)</f>
        <v>#N/A</v>
      </c>
      <c r="C35" s="155"/>
      <c r="D35" s="149" t="e">
        <f t="shared" si="0"/>
        <v>#N/A</v>
      </c>
      <c r="E35" s="150" t="e">
        <f>VLOOKUP(A35,'ORÇAMENTO_N DES'!$B:$P,14,0)</f>
        <v>#N/A</v>
      </c>
      <c r="F35" s="151" t="e">
        <f t="shared" si="1"/>
        <v>#REF!</v>
      </c>
      <c r="G35" s="152" t="e">
        <f>'CRONOGRAMA DES'!#REF!</f>
        <v>#REF!</v>
      </c>
      <c r="H35" s="153" t="e">
        <f t="shared" si="2"/>
        <v>#REF!</v>
      </c>
      <c r="I35" s="151" t="e">
        <f t="shared" si="8"/>
        <v>#REF!</v>
      </c>
      <c r="J35" s="152" t="e">
        <f>'CRONOGRAMA DES'!#REF!</f>
        <v>#REF!</v>
      </c>
      <c r="K35" s="153" t="e">
        <f t="shared" si="3"/>
        <v>#REF!</v>
      </c>
      <c r="L35" s="151" t="e">
        <f t="shared" si="9"/>
        <v>#REF!</v>
      </c>
      <c r="M35" s="152" t="e">
        <f>'CRONOGRAMA DES'!#REF!</f>
        <v>#REF!</v>
      </c>
      <c r="N35" s="153" t="e">
        <f t="shared" si="4"/>
        <v>#REF!</v>
      </c>
      <c r="O35" s="151" t="e">
        <f t="shared" si="10"/>
        <v>#REF!</v>
      </c>
      <c r="P35" s="152" t="e">
        <f>'CRONOGRAMA DES'!#REF!</f>
        <v>#REF!</v>
      </c>
      <c r="Q35" s="153" t="e">
        <f t="shared" si="5"/>
        <v>#REF!</v>
      </c>
      <c r="R35" s="151" t="e">
        <f t="shared" si="11"/>
        <v>#REF!</v>
      </c>
      <c r="S35" s="152" t="e">
        <f>'CRONOGRAMA DES'!#REF!</f>
        <v>#REF!</v>
      </c>
      <c r="T35" s="153" t="e">
        <f t="shared" si="6"/>
        <v>#REF!</v>
      </c>
      <c r="U35" s="151" t="e">
        <f t="shared" si="12"/>
        <v>#REF!</v>
      </c>
      <c r="V35" s="152" t="e">
        <f>'CRONOGRAMA DES'!#REF!</f>
        <v>#REF!</v>
      </c>
      <c r="W35" s="153" t="e">
        <f t="shared" si="7"/>
        <v>#REF!</v>
      </c>
      <c r="X35" s="154" t="e">
        <f t="shared" si="13"/>
        <v>#REF!</v>
      </c>
      <c r="Z35" s="1"/>
      <c r="AB35" s="1"/>
    </row>
    <row r="36" spans="1:28" x14ac:dyDescent="0.25">
      <c r="A36" s="3"/>
      <c r="B36" s="156"/>
      <c r="C36" s="156"/>
      <c r="D36" s="157" t="e">
        <f>SUM(D11:D35)</f>
        <v>#N/A</v>
      </c>
      <c r="E36" s="158" t="e">
        <f>SUM(E11:E35)</f>
        <v>#N/A</v>
      </c>
      <c r="F36" s="159"/>
      <c r="G36" s="160"/>
      <c r="H36" s="161"/>
      <c r="I36" s="159"/>
      <c r="J36" s="160"/>
      <c r="K36" s="162"/>
      <c r="L36" s="163"/>
      <c r="M36" s="164"/>
      <c r="N36" s="165"/>
      <c r="O36" s="163"/>
      <c r="P36" s="164"/>
      <c r="Q36" s="165"/>
      <c r="R36" s="166"/>
      <c r="S36" s="167"/>
      <c r="T36" s="168"/>
      <c r="U36" s="166"/>
      <c r="V36" s="167"/>
      <c r="W36" s="167"/>
      <c r="X36" s="169"/>
      <c r="Z36" s="1"/>
      <c r="AB36" s="1"/>
    </row>
    <row r="37" spans="1:28" x14ac:dyDescent="0.25">
      <c r="A37" s="5"/>
      <c r="B37" s="841" t="s">
        <v>8</v>
      </c>
      <c r="C37" s="841"/>
      <c r="D37" s="841"/>
      <c r="E37" s="842"/>
      <c r="F37" s="170" t="e">
        <f>SUM(F11:F35)</f>
        <v>#REF!</v>
      </c>
      <c r="G37" s="171"/>
      <c r="H37" s="172"/>
      <c r="I37" s="170" t="e">
        <f>SUM(I11:I35)</f>
        <v>#REF!</v>
      </c>
      <c r="J37" s="171"/>
      <c r="K37" s="172"/>
      <c r="L37" s="170" t="e">
        <f>SUM(L11:L35)</f>
        <v>#REF!</v>
      </c>
      <c r="M37" s="171"/>
      <c r="N37" s="172"/>
      <c r="O37" s="170" t="e">
        <f>SUM(O11:O35)</f>
        <v>#REF!</v>
      </c>
      <c r="P37" s="171"/>
      <c r="Q37" s="172"/>
      <c r="R37" s="170" t="e">
        <f>SUM(R11:R35)</f>
        <v>#REF!</v>
      </c>
      <c r="S37" s="171"/>
      <c r="T37" s="172"/>
      <c r="U37" s="170" t="e">
        <f>SUM(U11:U35)</f>
        <v>#REF!</v>
      </c>
      <c r="V37" s="171"/>
      <c r="W37" s="172"/>
      <c r="X37" s="169"/>
    </row>
    <row r="38" spans="1:28" x14ac:dyDescent="0.25">
      <c r="A38" s="4"/>
      <c r="B38" s="851" t="s">
        <v>9</v>
      </c>
      <c r="C38" s="851"/>
      <c r="D38" s="851"/>
      <c r="E38" s="852"/>
      <c r="F38" s="173" t="e">
        <f>F37</f>
        <v>#REF!</v>
      </c>
      <c r="G38" s="174" t="e">
        <f>F37/$E$36</f>
        <v>#REF!</v>
      </c>
      <c r="H38" s="175" t="e">
        <f>G38</f>
        <v>#REF!</v>
      </c>
      <c r="I38" s="173" t="e">
        <f>I37+F38</f>
        <v>#REF!</v>
      </c>
      <c r="J38" s="174" t="e">
        <f>I37/$E$36</f>
        <v>#REF!</v>
      </c>
      <c r="K38" s="175" t="e">
        <f>J38+H38</f>
        <v>#REF!</v>
      </c>
      <c r="L38" s="173" t="e">
        <f>I38+L37</f>
        <v>#REF!</v>
      </c>
      <c r="M38" s="174" t="e">
        <f>L37/$E$36</f>
        <v>#REF!</v>
      </c>
      <c r="N38" s="175" t="e">
        <f>M38+K38</f>
        <v>#REF!</v>
      </c>
      <c r="O38" s="173" t="e">
        <f>O37+L38</f>
        <v>#REF!</v>
      </c>
      <c r="P38" s="174" t="e">
        <f>O37/$E$36</f>
        <v>#REF!</v>
      </c>
      <c r="Q38" s="175" t="e">
        <f>P38+N38</f>
        <v>#REF!</v>
      </c>
      <c r="R38" s="173" t="e">
        <f>R37+O38</f>
        <v>#REF!</v>
      </c>
      <c r="S38" s="174" t="e">
        <f>R37/$E$36</f>
        <v>#REF!</v>
      </c>
      <c r="T38" s="175" t="e">
        <f>S38+Q38</f>
        <v>#REF!</v>
      </c>
      <c r="U38" s="173" t="e">
        <f>U37+R38</f>
        <v>#REF!</v>
      </c>
      <c r="V38" s="174" t="e">
        <f>U37/$E$36</f>
        <v>#REF!</v>
      </c>
      <c r="W38" s="175" t="e">
        <f>V38+T38</f>
        <v>#REF!</v>
      </c>
      <c r="X38" s="169"/>
    </row>
    <row r="39" spans="1:28" ht="4.1500000000000004" customHeight="1" x14ac:dyDescent="0.25">
      <c r="A39" s="18"/>
      <c r="B39" s="176"/>
      <c r="C39" s="176"/>
      <c r="D39" s="177"/>
      <c r="E39" s="178"/>
      <c r="F39" s="179"/>
      <c r="G39" s="179"/>
      <c r="H39" s="180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6"/>
    </row>
    <row r="40" spans="1:28" x14ac:dyDescent="0.25">
      <c r="A40" s="840" t="s">
        <v>5</v>
      </c>
      <c r="B40" s="843" t="s">
        <v>6</v>
      </c>
      <c r="C40" s="844"/>
      <c r="D40" s="847" t="s">
        <v>0</v>
      </c>
      <c r="E40" s="849" t="s">
        <v>22</v>
      </c>
      <c r="F40" s="826" t="s">
        <v>258</v>
      </c>
      <c r="G40" s="827"/>
      <c r="H40" s="828"/>
      <c r="I40" s="826" t="s">
        <v>259</v>
      </c>
      <c r="J40" s="827"/>
      <c r="K40" s="828"/>
      <c r="L40" s="826" t="s">
        <v>260</v>
      </c>
      <c r="M40" s="827"/>
      <c r="N40" s="828"/>
      <c r="O40" s="826" t="s">
        <v>261</v>
      </c>
      <c r="P40" s="827"/>
      <c r="Q40" s="828"/>
      <c r="R40" s="826" t="s">
        <v>262</v>
      </c>
      <c r="S40" s="827"/>
      <c r="T40" s="828"/>
      <c r="U40" s="826" t="s">
        <v>263</v>
      </c>
      <c r="V40" s="827"/>
      <c r="W40" s="828"/>
      <c r="X40" s="181" t="s">
        <v>178</v>
      </c>
    </row>
    <row r="41" spans="1:28" x14ac:dyDescent="0.25">
      <c r="A41" s="840" t="s">
        <v>5</v>
      </c>
      <c r="B41" s="845"/>
      <c r="C41" s="846"/>
      <c r="D41" s="848"/>
      <c r="E41" s="850"/>
      <c r="F41" s="182" t="s">
        <v>23</v>
      </c>
      <c r="G41" s="182" t="s">
        <v>0</v>
      </c>
      <c r="H41" s="183" t="s">
        <v>33</v>
      </c>
      <c r="I41" s="182" t="s">
        <v>23</v>
      </c>
      <c r="J41" s="182" t="s">
        <v>0</v>
      </c>
      <c r="K41" s="183" t="s">
        <v>33</v>
      </c>
      <c r="L41" s="182" t="s">
        <v>23</v>
      </c>
      <c r="M41" s="182" t="s">
        <v>0</v>
      </c>
      <c r="N41" s="183" t="s">
        <v>33</v>
      </c>
      <c r="O41" s="182" t="s">
        <v>23</v>
      </c>
      <c r="P41" s="182" t="s">
        <v>0</v>
      </c>
      <c r="Q41" s="183" t="s">
        <v>33</v>
      </c>
      <c r="R41" s="182" t="s">
        <v>23</v>
      </c>
      <c r="S41" s="182" t="s">
        <v>0</v>
      </c>
      <c r="T41" s="183" t="s">
        <v>33</v>
      </c>
      <c r="U41" s="182" t="s">
        <v>23</v>
      </c>
      <c r="V41" s="182" t="s">
        <v>0</v>
      </c>
      <c r="W41" s="183" t="s">
        <v>33</v>
      </c>
      <c r="X41" s="184"/>
    </row>
    <row r="42" spans="1:28" x14ac:dyDescent="0.25">
      <c r="A42" s="142" t="s">
        <v>12</v>
      </c>
      <c r="B42" s="147" t="str">
        <f>VLOOKUP(A42,Tabela3[[ITEM]:[DESCRIÇÃO]],6,FALSE)</f>
        <v>SERVIÇOS PRELIMINARES</v>
      </c>
      <c r="C42" s="148"/>
      <c r="D42" s="149" t="e">
        <f t="shared" ref="D42:D66" si="14">E42/E$36</f>
        <v>#N/A</v>
      </c>
      <c r="E42" s="150">
        <f t="shared" ref="E42:E66" si="15">E11</f>
        <v>134058.96000000002</v>
      </c>
      <c r="F42" s="151">
        <f t="shared" ref="F42:F66" si="16">G42*E42</f>
        <v>0</v>
      </c>
      <c r="G42" s="152">
        <f>'CRONOGRAMA DES'!G26</f>
        <v>0</v>
      </c>
      <c r="H42" s="153" t="e">
        <f t="shared" ref="H42:H66" si="17">G42+W11</f>
        <v>#REF!</v>
      </c>
      <c r="I42" s="151" t="e">
        <f t="shared" ref="I42:I66" si="18">J42*E42</f>
        <v>#REF!</v>
      </c>
      <c r="J42" s="152" t="e">
        <f>'CRONOGRAMA DES'!#REF!</f>
        <v>#REF!</v>
      </c>
      <c r="K42" s="153" t="e">
        <f>J42+H42</f>
        <v>#REF!</v>
      </c>
      <c r="L42" s="151" t="e">
        <f>M42*E42</f>
        <v>#REF!</v>
      </c>
      <c r="M42" s="152" t="e">
        <f>'CRONOGRAMA DES'!#REF!</f>
        <v>#REF!</v>
      </c>
      <c r="N42" s="153" t="e">
        <f t="shared" ref="N42:N63" si="19">M42+K42</f>
        <v>#REF!</v>
      </c>
      <c r="O42" s="151" t="e">
        <f>P42*E42</f>
        <v>#REF!</v>
      </c>
      <c r="P42" s="152" t="e">
        <f>'CRONOGRAMA DES'!#REF!</f>
        <v>#REF!</v>
      </c>
      <c r="Q42" s="153" t="e">
        <f>P42+N42</f>
        <v>#REF!</v>
      </c>
      <c r="R42" s="151" t="e">
        <f>S42*E42</f>
        <v>#REF!</v>
      </c>
      <c r="S42" s="152" t="e">
        <f>'CRONOGRAMA DES'!#REF!</f>
        <v>#REF!</v>
      </c>
      <c r="T42" s="153" t="e">
        <f>S42+Q42</f>
        <v>#REF!</v>
      </c>
      <c r="U42" s="151">
        <f t="shared" ref="U42:U66" si="20">V42*E42</f>
        <v>0</v>
      </c>
      <c r="V42" s="152">
        <f>'CRONOGRAMA DES'!V26</f>
        <v>0</v>
      </c>
      <c r="W42" s="153" t="e">
        <f>V42+T42</f>
        <v>#REF!</v>
      </c>
      <c r="X42" s="154" t="e">
        <f t="shared" ref="X42:X66" si="21">G42+J42+M42+P42+S42+V42+V11+S11+P11+M11+J11+G11</f>
        <v>#REF!</v>
      </c>
    </row>
    <row r="43" spans="1:28" x14ac:dyDescent="0.25">
      <c r="A43" s="142" t="s">
        <v>11</v>
      </c>
      <c r="B43" s="147" t="str">
        <f>VLOOKUP(A43,Tabela3[[ITEM]:[DESCRIÇÃO]],6,FALSE)</f>
        <v>ESTRUTURA DE CONCRETO ARMADO</v>
      </c>
      <c r="C43" s="148"/>
      <c r="D43" s="149" t="e">
        <f t="shared" si="14"/>
        <v>#N/A</v>
      </c>
      <c r="E43" s="150">
        <f t="shared" si="15"/>
        <v>273439.64000000007</v>
      </c>
      <c r="F43" s="151">
        <f t="shared" si="16"/>
        <v>0</v>
      </c>
      <c r="G43" s="152">
        <f>'CRONOGRAMA DES'!G27</f>
        <v>0</v>
      </c>
      <c r="H43" s="153" t="e">
        <f t="shared" si="17"/>
        <v>#REF!</v>
      </c>
      <c r="I43" s="151" t="e">
        <f t="shared" si="18"/>
        <v>#REF!</v>
      </c>
      <c r="J43" s="152" t="e">
        <f>'CRONOGRAMA DES'!#REF!</f>
        <v>#REF!</v>
      </c>
      <c r="K43" s="153" t="e">
        <f>J43+H43</f>
        <v>#REF!</v>
      </c>
      <c r="L43" s="151" t="e">
        <f t="shared" ref="L43:L66" si="22">M43*E43</f>
        <v>#REF!</v>
      </c>
      <c r="M43" s="152" t="e">
        <f>'CRONOGRAMA DES'!#REF!</f>
        <v>#REF!</v>
      </c>
      <c r="N43" s="153" t="e">
        <f t="shared" si="19"/>
        <v>#REF!</v>
      </c>
      <c r="O43" s="151" t="e">
        <f t="shared" ref="O43:O66" si="23">P43*E43</f>
        <v>#REF!</v>
      </c>
      <c r="P43" s="152" t="e">
        <f>'CRONOGRAMA DES'!#REF!</f>
        <v>#REF!</v>
      </c>
      <c r="Q43" s="153" t="e">
        <f t="shared" ref="Q43:Q63" si="24">P43+N43</f>
        <v>#REF!</v>
      </c>
      <c r="R43" s="151" t="e">
        <f t="shared" ref="R43:R66" si="25">S43*E43</f>
        <v>#REF!</v>
      </c>
      <c r="S43" s="152" t="e">
        <f>'CRONOGRAMA DES'!#REF!</f>
        <v>#REF!</v>
      </c>
      <c r="T43" s="153" t="e">
        <f t="shared" ref="T43:T66" si="26">S43+Q43</f>
        <v>#REF!</v>
      </c>
      <c r="U43" s="151">
        <f t="shared" si="20"/>
        <v>0</v>
      </c>
      <c r="V43" s="152">
        <f>'CRONOGRAMA DES'!V27</f>
        <v>0</v>
      </c>
      <c r="W43" s="153" t="e">
        <f t="shared" ref="W43:W66" si="27">V43+T43</f>
        <v>#REF!</v>
      </c>
      <c r="X43" s="154" t="e">
        <f t="shared" si="21"/>
        <v>#REF!</v>
      </c>
    </row>
    <row r="44" spans="1:28" x14ac:dyDescent="0.25">
      <c r="A44" s="142" t="s">
        <v>18</v>
      </c>
      <c r="B44" s="147" t="str">
        <f>VLOOKUP(A44,Tabela3[[ITEM]:[DESCRIÇÃO]],6,FALSE)</f>
        <v>ESTRUTURA METÁLICA</v>
      </c>
      <c r="C44" s="155"/>
      <c r="D44" s="149" t="e">
        <f t="shared" si="14"/>
        <v>#N/A</v>
      </c>
      <c r="E44" s="150">
        <f t="shared" si="15"/>
        <v>284233.42</v>
      </c>
      <c r="F44" s="151">
        <f t="shared" si="16"/>
        <v>0</v>
      </c>
      <c r="G44" s="152">
        <f>'CRONOGRAMA DES'!G28</f>
        <v>0</v>
      </c>
      <c r="H44" s="153" t="e">
        <f t="shared" si="17"/>
        <v>#REF!</v>
      </c>
      <c r="I44" s="151" t="e">
        <f t="shared" si="18"/>
        <v>#REF!</v>
      </c>
      <c r="J44" s="152" t="e">
        <f>'CRONOGRAMA DES'!#REF!</f>
        <v>#REF!</v>
      </c>
      <c r="K44" s="153" t="e">
        <f>J44+H44</f>
        <v>#REF!</v>
      </c>
      <c r="L44" s="151" t="e">
        <f t="shared" si="22"/>
        <v>#REF!</v>
      </c>
      <c r="M44" s="152" t="e">
        <f>'CRONOGRAMA DES'!#REF!</f>
        <v>#REF!</v>
      </c>
      <c r="N44" s="153" t="e">
        <f t="shared" si="19"/>
        <v>#REF!</v>
      </c>
      <c r="O44" s="151" t="e">
        <f t="shared" si="23"/>
        <v>#REF!</v>
      </c>
      <c r="P44" s="152" t="e">
        <f>'CRONOGRAMA DES'!#REF!</f>
        <v>#REF!</v>
      </c>
      <c r="Q44" s="153" t="e">
        <f t="shared" si="24"/>
        <v>#REF!</v>
      </c>
      <c r="R44" s="151" t="e">
        <f t="shared" si="25"/>
        <v>#REF!</v>
      </c>
      <c r="S44" s="152" t="e">
        <f>'CRONOGRAMA DES'!#REF!</f>
        <v>#REF!</v>
      </c>
      <c r="T44" s="153" t="e">
        <f t="shared" si="26"/>
        <v>#REF!</v>
      </c>
      <c r="U44" s="151">
        <f t="shared" si="20"/>
        <v>0</v>
      </c>
      <c r="V44" s="152">
        <f>'CRONOGRAMA DES'!V28</f>
        <v>0</v>
      </c>
      <c r="W44" s="153" t="e">
        <f t="shared" si="27"/>
        <v>#REF!</v>
      </c>
      <c r="X44" s="154" t="e">
        <f t="shared" si="21"/>
        <v>#REF!</v>
      </c>
    </row>
    <row r="45" spans="1:28" x14ac:dyDescent="0.25">
      <c r="A45" s="142" t="s">
        <v>34</v>
      </c>
      <c r="B45" s="147" t="str">
        <f>VLOOKUP(A45,Tabela3[[ITEM]:[DESCRIÇÃO]],6,FALSE)</f>
        <v>COBERTURA</v>
      </c>
      <c r="C45" s="155"/>
      <c r="D45" s="149" t="e">
        <f t="shared" si="14"/>
        <v>#N/A</v>
      </c>
      <c r="E45" s="150">
        <f t="shared" si="15"/>
        <v>123176.75</v>
      </c>
      <c r="F45" s="151">
        <f t="shared" si="16"/>
        <v>18476.512500000001</v>
      </c>
      <c r="G45" s="152">
        <f>'CRONOGRAMA DES'!G29</f>
        <v>0.15</v>
      </c>
      <c r="H45" s="153" t="e">
        <f t="shared" si="17"/>
        <v>#REF!</v>
      </c>
      <c r="I45" s="151" t="e">
        <f t="shared" si="18"/>
        <v>#REF!</v>
      </c>
      <c r="J45" s="152" t="e">
        <f>'CRONOGRAMA DES'!#REF!</f>
        <v>#REF!</v>
      </c>
      <c r="K45" s="153" t="e">
        <f>J45+H45</f>
        <v>#REF!</v>
      </c>
      <c r="L45" s="151" t="e">
        <f t="shared" si="22"/>
        <v>#REF!</v>
      </c>
      <c r="M45" s="152" t="e">
        <f>'CRONOGRAMA DES'!#REF!</f>
        <v>#REF!</v>
      </c>
      <c r="N45" s="153" t="e">
        <f t="shared" si="19"/>
        <v>#REF!</v>
      </c>
      <c r="O45" s="151" t="e">
        <f t="shared" si="23"/>
        <v>#REF!</v>
      </c>
      <c r="P45" s="152" t="e">
        <f>'CRONOGRAMA DES'!#REF!</f>
        <v>#REF!</v>
      </c>
      <c r="Q45" s="153" t="e">
        <f t="shared" si="24"/>
        <v>#REF!</v>
      </c>
      <c r="R45" s="151" t="e">
        <f t="shared" si="25"/>
        <v>#REF!</v>
      </c>
      <c r="S45" s="152" t="e">
        <f>'CRONOGRAMA DES'!#REF!</f>
        <v>#REF!</v>
      </c>
      <c r="T45" s="153" t="e">
        <f t="shared" si="26"/>
        <v>#REF!</v>
      </c>
      <c r="U45" s="151">
        <f t="shared" si="20"/>
        <v>0</v>
      </c>
      <c r="V45" s="152">
        <f>'CRONOGRAMA DES'!V29</f>
        <v>0</v>
      </c>
      <c r="W45" s="153" t="e">
        <f t="shared" si="27"/>
        <v>#REF!</v>
      </c>
      <c r="X45" s="154" t="e">
        <f t="shared" si="21"/>
        <v>#REF!</v>
      </c>
    </row>
    <row r="46" spans="1:28" x14ac:dyDescent="0.25">
      <c r="A46" s="142" t="s">
        <v>57</v>
      </c>
      <c r="B46" s="147" t="str">
        <f>VLOOKUP(A46,Tabela3[[ITEM]:[DESCRIÇÃO]],6,FALSE)</f>
        <v>PISO</v>
      </c>
      <c r="C46" s="155"/>
      <c r="D46" s="149" t="e">
        <f t="shared" si="14"/>
        <v>#N/A</v>
      </c>
      <c r="E46" s="150">
        <f t="shared" si="15"/>
        <v>129041.10999999999</v>
      </c>
      <c r="F46" s="151">
        <f t="shared" si="16"/>
        <v>0</v>
      </c>
      <c r="G46" s="152">
        <f>'CRONOGRAMA DES'!G30</f>
        <v>0</v>
      </c>
      <c r="H46" s="153" t="e">
        <f t="shared" si="17"/>
        <v>#REF!</v>
      </c>
      <c r="I46" s="151" t="e">
        <f t="shared" si="18"/>
        <v>#REF!</v>
      </c>
      <c r="J46" s="152" t="e">
        <f>'CRONOGRAMA DES'!#REF!</f>
        <v>#REF!</v>
      </c>
      <c r="K46" s="153" t="e">
        <f t="shared" ref="K46:K63" si="28">J46+H46</f>
        <v>#REF!</v>
      </c>
      <c r="L46" s="151" t="e">
        <f t="shared" si="22"/>
        <v>#REF!</v>
      </c>
      <c r="M46" s="152" t="e">
        <f>'CRONOGRAMA DES'!#REF!</f>
        <v>#REF!</v>
      </c>
      <c r="N46" s="153" t="e">
        <f t="shared" si="19"/>
        <v>#REF!</v>
      </c>
      <c r="O46" s="151" t="e">
        <f t="shared" si="23"/>
        <v>#REF!</v>
      </c>
      <c r="P46" s="152" t="e">
        <f>'CRONOGRAMA DES'!#REF!</f>
        <v>#REF!</v>
      </c>
      <c r="Q46" s="153" t="e">
        <f t="shared" si="24"/>
        <v>#REF!</v>
      </c>
      <c r="R46" s="151" t="e">
        <f t="shared" si="25"/>
        <v>#REF!</v>
      </c>
      <c r="S46" s="152" t="e">
        <f>'CRONOGRAMA DES'!#REF!</f>
        <v>#REF!</v>
      </c>
      <c r="T46" s="153" t="e">
        <f t="shared" si="26"/>
        <v>#REF!</v>
      </c>
      <c r="U46" s="151">
        <f t="shared" si="20"/>
        <v>0</v>
      </c>
      <c r="V46" s="152">
        <f>'CRONOGRAMA DES'!V30</f>
        <v>0</v>
      </c>
      <c r="W46" s="153" t="e">
        <f t="shared" si="27"/>
        <v>#REF!</v>
      </c>
      <c r="X46" s="154" t="e">
        <f t="shared" si="21"/>
        <v>#REF!</v>
      </c>
    </row>
    <row r="47" spans="1:28" x14ac:dyDescent="0.25">
      <c r="A47" s="142" t="s">
        <v>116</v>
      </c>
      <c r="B47" s="147" t="str">
        <f>VLOOKUP(A47,Tabela3[[ITEM]:[DESCRIÇÃO]],6,FALSE)</f>
        <v>URBANIZAÇÃO</v>
      </c>
      <c r="C47" s="155"/>
      <c r="D47" s="149" t="e">
        <f t="shared" si="14"/>
        <v>#N/A</v>
      </c>
      <c r="E47" s="150">
        <f t="shared" si="15"/>
        <v>13078.8</v>
      </c>
      <c r="F47" s="151">
        <f t="shared" si="16"/>
        <v>1961.8199999999997</v>
      </c>
      <c r="G47" s="152">
        <f>'CRONOGRAMA DES'!G31</f>
        <v>0.15</v>
      </c>
      <c r="H47" s="153" t="e">
        <f t="shared" si="17"/>
        <v>#REF!</v>
      </c>
      <c r="I47" s="151" t="e">
        <f t="shared" si="18"/>
        <v>#REF!</v>
      </c>
      <c r="J47" s="152" t="e">
        <f>'CRONOGRAMA DES'!#REF!</f>
        <v>#REF!</v>
      </c>
      <c r="K47" s="153" t="e">
        <f t="shared" si="28"/>
        <v>#REF!</v>
      </c>
      <c r="L47" s="151" t="e">
        <f t="shared" si="22"/>
        <v>#REF!</v>
      </c>
      <c r="M47" s="152" t="e">
        <f>'CRONOGRAMA DES'!#REF!</f>
        <v>#REF!</v>
      </c>
      <c r="N47" s="153" t="e">
        <f t="shared" si="19"/>
        <v>#REF!</v>
      </c>
      <c r="O47" s="151" t="e">
        <f t="shared" si="23"/>
        <v>#REF!</v>
      </c>
      <c r="P47" s="152" t="e">
        <f>'CRONOGRAMA DES'!#REF!</f>
        <v>#REF!</v>
      </c>
      <c r="Q47" s="153" t="e">
        <f t="shared" si="24"/>
        <v>#REF!</v>
      </c>
      <c r="R47" s="151" t="e">
        <f t="shared" si="25"/>
        <v>#REF!</v>
      </c>
      <c r="S47" s="152" t="e">
        <f>'CRONOGRAMA DES'!#REF!</f>
        <v>#REF!</v>
      </c>
      <c r="T47" s="153" t="e">
        <f t="shared" si="26"/>
        <v>#REF!</v>
      </c>
      <c r="U47" s="151">
        <f t="shared" si="20"/>
        <v>0</v>
      </c>
      <c r="V47" s="152">
        <f>'CRONOGRAMA DES'!V31</f>
        <v>0</v>
      </c>
      <c r="W47" s="153" t="e">
        <f t="shared" si="27"/>
        <v>#REF!</v>
      </c>
      <c r="X47" s="154" t="e">
        <f t="shared" si="21"/>
        <v>#REF!</v>
      </c>
    </row>
    <row r="48" spans="1:28" x14ac:dyDescent="0.25">
      <c r="A48" s="142" t="s">
        <v>59</v>
      </c>
      <c r="B48" s="147" t="str">
        <f>VLOOKUP(A48,Tabela3[[ITEM]:[DESCRIÇÃO]],6,FALSE)</f>
        <v>SERVIÇOS COMPLEMENTARES</v>
      </c>
      <c r="C48" s="155"/>
      <c r="D48" s="149" t="e">
        <f t="shared" si="14"/>
        <v>#N/A</v>
      </c>
      <c r="E48" s="150">
        <f t="shared" si="15"/>
        <v>61199.060000000005</v>
      </c>
      <c r="F48" s="151">
        <f t="shared" si="16"/>
        <v>0</v>
      </c>
      <c r="G48" s="152">
        <f>'CRONOGRAMA DES'!G32</f>
        <v>0</v>
      </c>
      <c r="H48" s="153" t="e">
        <f t="shared" si="17"/>
        <v>#REF!</v>
      </c>
      <c r="I48" s="151" t="e">
        <f t="shared" si="18"/>
        <v>#REF!</v>
      </c>
      <c r="J48" s="152" t="e">
        <f>'CRONOGRAMA DES'!#REF!</f>
        <v>#REF!</v>
      </c>
      <c r="K48" s="153" t="e">
        <f t="shared" si="28"/>
        <v>#REF!</v>
      </c>
      <c r="L48" s="151" t="e">
        <f t="shared" si="22"/>
        <v>#REF!</v>
      </c>
      <c r="M48" s="152" t="e">
        <f>'CRONOGRAMA DES'!#REF!</f>
        <v>#REF!</v>
      </c>
      <c r="N48" s="153" t="e">
        <f t="shared" si="19"/>
        <v>#REF!</v>
      </c>
      <c r="O48" s="151" t="e">
        <f t="shared" si="23"/>
        <v>#REF!</v>
      </c>
      <c r="P48" s="152" t="e">
        <f>'CRONOGRAMA DES'!#REF!</f>
        <v>#REF!</v>
      </c>
      <c r="Q48" s="153" t="e">
        <f t="shared" si="24"/>
        <v>#REF!</v>
      </c>
      <c r="R48" s="151" t="e">
        <f t="shared" si="25"/>
        <v>#REF!</v>
      </c>
      <c r="S48" s="152" t="e">
        <f>'CRONOGRAMA DES'!#REF!</f>
        <v>#REF!</v>
      </c>
      <c r="T48" s="153" t="e">
        <f t="shared" si="26"/>
        <v>#REF!</v>
      </c>
      <c r="U48" s="151">
        <f t="shared" si="20"/>
        <v>12239.812000000002</v>
      </c>
      <c r="V48" s="152">
        <f>'CRONOGRAMA DES'!V32</f>
        <v>0.2</v>
      </c>
      <c r="W48" s="153" t="e">
        <f t="shared" si="27"/>
        <v>#REF!</v>
      </c>
      <c r="X48" s="154" t="e">
        <f t="shared" si="21"/>
        <v>#REF!</v>
      </c>
    </row>
    <row r="49" spans="1:24" x14ac:dyDescent="0.25">
      <c r="A49" s="142" t="s">
        <v>61</v>
      </c>
      <c r="B49" s="147" t="str">
        <f>VLOOKUP(A49,Tabela3[[ITEM]:[DESCRIÇÃO]],6,FALSE)</f>
        <v xml:space="preserve">ADMINISTRAÇÃO LOCAL </v>
      </c>
      <c r="C49" s="148"/>
      <c r="D49" s="149" t="e">
        <f t="shared" si="14"/>
        <v>#N/A</v>
      </c>
      <c r="E49" s="150">
        <f t="shared" si="15"/>
        <v>77367.02</v>
      </c>
      <c r="F49" s="151">
        <f t="shared" si="16"/>
        <v>0</v>
      </c>
      <c r="G49" s="152">
        <f>'CRONOGRAMA DES'!G33</f>
        <v>0</v>
      </c>
      <c r="H49" s="153" t="e">
        <f t="shared" si="17"/>
        <v>#REF!</v>
      </c>
      <c r="I49" s="151" t="e">
        <f t="shared" si="18"/>
        <v>#REF!</v>
      </c>
      <c r="J49" s="152" t="e">
        <f>'CRONOGRAMA DES'!#REF!</f>
        <v>#REF!</v>
      </c>
      <c r="K49" s="153" t="e">
        <f t="shared" si="28"/>
        <v>#REF!</v>
      </c>
      <c r="L49" s="151" t="e">
        <f t="shared" si="22"/>
        <v>#REF!</v>
      </c>
      <c r="M49" s="152" t="e">
        <f>'CRONOGRAMA DES'!#REF!</f>
        <v>#REF!</v>
      </c>
      <c r="N49" s="153" t="e">
        <f t="shared" si="19"/>
        <v>#REF!</v>
      </c>
      <c r="O49" s="151" t="e">
        <f t="shared" si="23"/>
        <v>#REF!</v>
      </c>
      <c r="P49" s="152" t="e">
        <f>'CRONOGRAMA DES'!#REF!</f>
        <v>#REF!</v>
      </c>
      <c r="Q49" s="153" t="e">
        <f t="shared" si="24"/>
        <v>#REF!</v>
      </c>
      <c r="R49" s="151" t="e">
        <f t="shared" si="25"/>
        <v>#REF!</v>
      </c>
      <c r="S49" s="152" t="e">
        <f>'CRONOGRAMA DES'!#REF!</f>
        <v>#REF!</v>
      </c>
      <c r="T49" s="153" t="e">
        <f t="shared" si="26"/>
        <v>#REF!</v>
      </c>
      <c r="U49" s="151">
        <f t="shared" si="20"/>
        <v>30946.808000000005</v>
      </c>
      <c r="V49" s="152">
        <f>'CRONOGRAMA DES'!V33</f>
        <v>0.4</v>
      </c>
      <c r="W49" s="153" t="e">
        <f t="shared" si="27"/>
        <v>#REF!</v>
      </c>
      <c r="X49" s="154" t="e">
        <f t="shared" si="21"/>
        <v>#REF!</v>
      </c>
    </row>
    <row r="50" spans="1:24" x14ac:dyDescent="0.25">
      <c r="A50" s="142" t="s">
        <v>118</v>
      </c>
      <c r="B50" s="147" t="str">
        <f>VLOOKUP(A50,Tabela3[[ITEM]:[DESCRIÇÃO]],6,FALSE)</f>
        <v xml:space="preserve">LIMPEZA FINAL </v>
      </c>
      <c r="C50" s="148"/>
      <c r="D50" s="149" t="e">
        <f t="shared" si="14"/>
        <v>#N/A</v>
      </c>
      <c r="E50" s="150">
        <f t="shared" si="15"/>
        <v>27004.95</v>
      </c>
      <c r="F50" s="151">
        <f t="shared" si="16"/>
        <v>5400.9900000000007</v>
      </c>
      <c r="G50" s="152">
        <f>'CRONOGRAMA DES'!G34</f>
        <v>0.2</v>
      </c>
      <c r="H50" s="153" t="e">
        <f t="shared" si="17"/>
        <v>#REF!</v>
      </c>
      <c r="I50" s="151" t="e">
        <f t="shared" si="18"/>
        <v>#REF!</v>
      </c>
      <c r="J50" s="152" t="e">
        <f>'CRONOGRAMA DES'!#REF!</f>
        <v>#REF!</v>
      </c>
      <c r="K50" s="153" t="e">
        <f t="shared" si="28"/>
        <v>#REF!</v>
      </c>
      <c r="L50" s="151" t="e">
        <f t="shared" si="22"/>
        <v>#REF!</v>
      </c>
      <c r="M50" s="152" t="e">
        <f>'CRONOGRAMA DES'!#REF!</f>
        <v>#REF!</v>
      </c>
      <c r="N50" s="153" t="e">
        <f t="shared" si="19"/>
        <v>#REF!</v>
      </c>
      <c r="O50" s="151" t="e">
        <f t="shared" si="23"/>
        <v>#REF!</v>
      </c>
      <c r="P50" s="152" t="e">
        <f>'CRONOGRAMA DES'!#REF!</f>
        <v>#REF!</v>
      </c>
      <c r="Q50" s="153" t="e">
        <f t="shared" si="24"/>
        <v>#REF!</v>
      </c>
      <c r="R50" s="151" t="e">
        <f t="shared" si="25"/>
        <v>#REF!</v>
      </c>
      <c r="S50" s="152" t="e">
        <f>'CRONOGRAMA DES'!#REF!</f>
        <v>#REF!</v>
      </c>
      <c r="T50" s="153" t="e">
        <f t="shared" si="26"/>
        <v>#REF!</v>
      </c>
      <c r="U50" s="151">
        <f t="shared" si="20"/>
        <v>0</v>
      </c>
      <c r="V50" s="152">
        <f>'CRONOGRAMA DES'!V34</f>
        <v>0</v>
      </c>
      <c r="W50" s="153" t="e">
        <f t="shared" si="27"/>
        <v>#REF!</v>
      </c>
      <c r="X50" s="154" t="e">
        <f t="shared" si="21"/>
        <v>#REF!</v>
      </c>
    </row>
    <row r="51" spans="1:24" x14ac:dyDescent="0.25">
      <c r="A51" s="142" t="s">
        <v>119</v>
      </c>
      <c r="B51" s="147" t="e">
        <f>VLOOKUP(A51,Tabela3[[ITEM]:[DESCRIÇÃO]],6,FALSE)</f>
        <v>#N/A</v>
      </c>
      <c r="C51" s="155"/>
      <c r="D51" s="149" t="e">
        <f t="shared" si="14"/>
        <v>#N/A</v>
      </c>
      <c r="E51" s="150" t="e">
        <f t="shared" si="15"/>
        <v>#N/A</v>
      </c>
      <c r="F51" s="151" t="e">
        <f t="shared" si="16"/>
        <v>#N/A</v>
      </c>
      <c r="G51" s="152">
        <f>'CRONOGRAMA DES'!G35</f>
        <v>0</v>
      </c>
      <c r="H51" s="153" t="e">
        <f t="shared" si="17"/>
        <v>#REF!</v>
      </c>
      <c r="I51" s="151" t="e">
        <f t="shared" si="18"/>
        <v>#REF!</v>
      </c>
      <c r="J51" s="152" t="e">
        <f>'CRONOGRAMA DES'!#REF!</f>
        <v>#REF!</v>
      </c>
      <c r="K51" s="153" t="e">
        <f t="shared" si="28"/>
        <v>#REF!</v>
      </c>
      <c r="L51" s="151" t="e">
        <f t="shared" si="22"/>
        <v>#REF!</v>
      </c>
      <c r="M51" s="152" t="e">
        <f>'CRONOGRAMA DES'!#REF!</f>
        <v>#REF!</v>
      </c>
      <c r="N51" s="153" t="e">
        <f t="shared" si="19"/>
        <v>#REF!</v>
      </c>
      <c r="O51" s="151" t="e">
        <f t="shared" si="23"/>
        <v>#REF!</v>
      </c>
      <c r="P51" s="152" t="e">
        <f>'CRONOGRAMA DES'!#REF!</f>
        <v>#REF!</v>
      </c>
      <c r="Q51" s="153" t="e">
        <f t="shared" si="24"/>
        <v>#REF!</v>
      </c>
      <c r="R51" s="151" t="e">
        <f t="shared" si="25"/>
        <v>#REF!</v>
      </c>
      <c r="S51" s="152" t="e">
        <f>'CRONOGRAMA DES'!#REF!</f>
        <v>#REF!</v>
      </c>
      <c r="T51" s="153" t="e">
        <f t="shared" si="26"/>
        <v>#REF!</v>
      </c>
      <c r="U51" s="151" t="e">
        <f t="shared" si="20"/>
        <v>#N/A</v>
      </c>
      <c r="V51" s="152">
        <f>'CRONOGRAMA DES'!V35</f>
        <v>0.1</v>
      </c>
      <c r="W51" s="153" t="e">
        <f t="shared" si="27"/>
        <v>#REF!</v>
      </c>
      <c r="X51" s="154" t="e">
        <f t="shared" si="21"/>
        <v>#REF!</v>
      </c>
    </row>
    <row r="52" spans="1:24" x14ac:dyDescent="0.25">
      <c r="A52" s="142" t="s">
        <v>120</v>
      </c>
      <c r="B52" s="147" t="e">
        <f>VLOOKUP(A52,Tabela3[[ITEM]:[DESCRIÇÃO]],6,FALSE)</f>
        <v>#N/A</v>
      </c>
      <c r="C52" s="155"/>
      <c r="D52" s="149" t="e">
        <f t="shared" si="14"/>
        <v>#N/A</v>
      </c>
      <c r="E52" s="150" t="e">
        <f t="shared" si="15"/>
        <v>#N/A</v>
      </c>
      <c r="F52" s="151" t="e">
        <f t="shared" si="16"/>
        <v>#N/A</v>
      </c>
      <c r="G52" s="152">
        <f>'CRONOGRAMA DES'!G36</f>
        <v>0</v>
      </c>
      <c r="H52" s="153" t="e">
        <f t="shared" si="17"/>
        <v>#REF!</v>
      </c>
      <c r="I52" s="151" t="e">
        <f t="shared" si="18"/>
        <v>#REF!</v>
      </c>
      <c r="J52" s="152" t="e">
        <f>'CRONOGRAMA DES'!#REF!</f>
        <v>#REF!</v>
      </c>
      <c r="K52" s="153" t="e">
        <f t="shared" si="28"/>
        <v>#REF!</v>
      </c>
      <c r="L52" s="151" t="e">
        <f t="shared" si="22"/>
        <v>#REF!</v>
      </c>
      <c r="M52" s="152" t="e">
        <f>'CRONOGRAMA DES'!#REF!</f>
        <v>#REF!</v>
      </c>
      <c r="N52" s="153" t="e">
        <f t="shared" si="19"/>
        <v>#REF!</v>
      </c>
      <c r="O52" s="151" t="e">
        <f t="shared" si="23"/>
        <v>#REF!</v>
      </c>
      <c r="P52" s="152" t="e">
        <f>'CRONOGRAMA DES'!#REF!</f>
        <v>#REF!</v>
      </c>
      <c r="Q52" s="153" t="e">
        <f t="shared" si="24"/>
        <v>#REF!</v>
      </c>
      <c r="R52" s="151" t="e">
        <f t="shared" si="25"/>
        <v>#REF!</v>
      </c>
      <c r="S52" s="152" t="e">
        <f>'CRONOGRAMA DES'!#REF!</f>
        <v>#REF!</v>
      </c>
      <c r="T52" s="153" t="e">
        <f t="shared" si="26"/>
        <v>#REF!</v>
      </c>
      <c r="U52" s="151" t="e">
        <f t="shared" si="20"/>
        <v>#N/A</v>
      </c>
      <c r="V52" s="152">
        <f>'CRONOGRAMA DES'!V36</f>
        <v>0.2</v>
      </c>
      <c r="W52" s="153" t="e">
        <f t="shared" si="27"/>
        <v>#REF!</v>
      </c>
      <c r="X52" s="154" t="e">
        <f t="shared" si="21"/>
        <v>#REF!</v>
      </c>
    </row>
    <row r="53" spans="1:24" x14ac:dyDescent="0.25">
      <c r="A53" s="142" t="s">
        <v>122</v>
      </c>
      <c r="B53" s="147" t="e">
        <f>VLOOKUP(A53,Tabela3[[ITEM]:[DESCRIÇÃO]],6,FALSE)</f>
        <v>#N/A</v>
      </c>
      <c r="C53" s="155"/>
      <c r="D53" s="149" t="e">
        <f t="shared" si="14"/>
        <v>#N/A</v>
      </c>
      <c r="E53" s="150" t="e">
        <f t="shared" si="15"/>
        <v>#N/A</v>
      </c>
      <c r="F53" s="151" t="e">
        <f t="shared" si="16"/>
        <v>#N/A</v>
      </c>
      <c r="G53" s="152">
        <f>'CRONOGRAMA DES'!G37</f>
        <v>0.2</v>
      </c>
      <c r="H53" s="153" t="e">
        <f t="shared" si="17"/>
        <v>#REF!</v>
      </c>
      <c r="I53" s="151" t="e">
        <f t="shared" si="18"/>
        <v>#REF!</v>
      </c>
      <c r="J53" s="152" t="e">
        <f>'CRONOGRAMA DES'!#REF!</f>
        <v>#REF!</v>
      </c>
      <c r="K53" s="153" t="e">
        <f t="shared" si="28"/>
        <v>#REF!</v>
      </c>
      <c r="L53" s="151" t="e">
        <f t="shared" si="22"/>
        <v>#REF!</v>
      </c>
      <c r="M53" s="152" t="e">
        <f>'CRONOGRAMA DES'!#REF!</f>
        <v>#REF!</v>
      </c>
      <c r="N53" s="153" t="e">
        <f t="shared" si="19"/>
        <v>#REF!</v>
      </c>
      <c r="O53" s="151" t="e">
        <f t="shared" si="23"/>
        <v>#REF!</v>
      </c>
      <c r="P53" s="152" t="e">
        <f>'CRONOGRAMA DES'!#REF!</f>
        <v>#REF!</v>
      </c>
      <c r="Q53" s="153" t="e">
        <f t="shared" si="24"/>
        <v>#REF!</v>
      </c>
      <c r="R53" s="151" t="e">
        <f t="shared" si="25"/>
        <v>#REF!</v>
      </c>
      <c r="S53" s="152" t="e">
        <f>'CRONOGRAMA DES'!#REF!</f>
        <v>#REF!</v>
      </c>
      <c r="T53" s="153" t="e">
        <f t="shared" si="26"/>
        <v>#REF!</v>
      </c>
      <c r="U53" s="151" t="e">
        <f t="shared" si="20"/>
        <v>#N/A</v>
      </c>
      <c r="V53" s="152">
        <f>'CRONOGRAMA DES'!V37</f>
        <v>0</v>
      </c>
      <c r="W53" s="153" t="e">
        <f t="shared" si="27"/>
        <v>#REF!</v>
      </c>
      <c r="X53" s="154" t="e">
        <f t="shared" si="21"/>
        <v>#REF!</v>
      </c>
    </row>
    <row r="54" spans="1:24" x14ac:dyDescent="0.25">
      <c r="A54" s="142" t="s">
        <v>123</v>
      </c>
      <c r="B54" s="147" t="e">
        <f>VLOOKUP(A54,Tabela3[[ITEM]:[DESCRIÇÃO]],6,FALSE)</f>
        <v>#N/A</v>
      </c>
      <c r="C54" s="155"/>
      <c r="D54" s="149" t="e">
        <f t="shared" si="14"/>
        <v>#N/A</v>
      </c>
      <c r="E54" s="150" t="e">
        <f t="shared" si="15"/>
        <v>#N/A</v>
      </c>
      <c r="F54" s="151" t="e">
        <f t="shared" si="16"/>
        <v>#N/A</v>
      </c>
      <c r="G54" s="152">
        <f>'CRONOGRAMA DES'!G38</f>
        <v>0.2</v>
      </c>
      <c r="H54" s="153" t="e">
        <f t="shared" si="17"/>
        <v>#REF!</v>
      </c>
      <c r="I54" s="151" t="e">
        <f t="shared" si="18"/>
        <v>#REF!</v>
      </c>
      <c r="J54" s="152" t="e">
        <f>'CRONOGRAMA DES'!#REF!</f>
        <v>#REF!</v>
      </c>
      <c r="K54" s="153" t="e">
        <f t="shared" si="28"/>
        <v>#REF!</v>
      </c>
      <c r="L54" s="151" t="e">
        <f t="shared" si="22"/>
        <v>#REF!</v>
      </c>
      <c r="M54" s="152" t="e">
        <f>'CRONOGRAMA DES'!#REF!</f>
        <v>#REF!</v>
      </c>
      <c r="N54" s="153" t="e">
        <f t="shared" si="19"/>
        <v>#REF!</v>
      </c>
      <c r="O54" s="151" t="e">
        <f t="shared" si="23"/>
        <v>#REF!</v>
      </c>
      <c r="P54" s="152" t="e">
        <f>'CRONOGRAMA DES'!#REF!</f>
        <v>#REF!</v>
      </c>
      <c r="Q54" s="153" t="e">
        <f t="shared" si="24"/>
        <v>#REF!</v>
      </c>
      <c r="R54" s="151" t="e">
        <f t="shared" si="25"/>
        <v>#REF!</v>
      </c>
      <c r="S54" s="152" t="e">
        <f>'CRONOGRAMA DES'!#REF!</f>
        <v>#REF!</v>
      </c>
      <c r="T54" s="153" t="e">
        <f t="shared" si="26"/>
        <v>#REF!</v>
      </c>
      <c r="U54" s="151" t="e">
        <f t="shared" si="20"/>
        <v>#N/A</v>
      </c>
      <c r="V54" s="152">
        <f>'CRONOGRAMA DES'!V38</f>
        <v>0</v>
      </c>
      <c r="W54" s="153" t="e">
        <f t="shared" si="27"/>
        <v>#REF!</v>
      </c>
      <c r="X54" s="154" t="e">
        <f t="shared" si="21"/>
        <v>#REF!</v>
      </c>
    </row>
    <row r="55" spans="1:24" x14ac:dyDescent="0.25">
      <c r="A55" s="142" t="s">
        <v>124</v>
      </c>
      <c r="B55" s="147" t="e">
        <f>VLOOKUP(A55,Tabela3[[ITEM]:[DESCRIÇÃO]],6,FALSE)</f>
        <v>#N/A</v>
      </c>
      <c r="C55" s="155"/>
      <c r="D55" s="149" t="e">
        <f t="shared" si="14"/>
        <v>#N/A</v>
      </c>
      <c r="E55" s="150" t="e">
        <f t="shared" si="15"/>
        <v>#N/A</v>
      </c>
      <c r="F55" s="151" t="e">
        <f t="shared" si="16"/>
        <v>#N/A</v>
      </c>
      <c r="G55" s="152">
        <f>'CRONOGRAMA DES'!G39</f>
        <v>0</v>
      </c>
      <c r="H55" s="153" t="e">
        <f t="shared" si="17"/>
        <v>#REF!</v>
      </c>
      <c r="I55" s="151" t="e">
        <f t="shared" si="18"/>
        <v>#REF!</v>
      </c>
      <c r="J55" s="152" t="e">
        <f>'CRONOGRAMA DES'!#REF!</f>
        <v>#REF!</v>
      </c>
      <c r="K55" s="153" t="e">
        <f t="shared" si="28"/>
        <v>#REF!</v>
      </c>
      <c r="L55" s="151" t="e">
        <f t="shared" si="22"/>
        <v>#REF!</v>
      </c>
      <c r="M55" s="152" t="e">
        <f>'CRONOGRAMA DES'!#REF!</f>
        <v>#REF!</v>
      </c>
      <c r="N55" s="153" t="e">
        <f t="shared" si="19"/>
        <v>#REF!</v>
      </c>
      <c r="O55" s="151" t="e">
        <f t="shared" si="23"/>
        <v>#REF!</v>
      </c>
      <c r="P55" s="152" t="e">
        <f>'CRONOGRAMA DES'!#REF!</f>
        <v>#REF!</v>
      </c>
      <c r="Q55" s="153" t="e">
        <f t="shared" si="24"/>
        <v>#REF!</v>
      </c>
      <c r="R55" s="151" t="e">
        <f t="shared" si="25"/>
        <v>#REF!</v>
      </c>
      <c r="S55" s="152" t="e">
        <f>'CRONOGRAMA DES'!#REF!</f>
        <v>#REF!</v>
      </c>
      <c r="T55" s="153" t="e">
        <f t="shared" si="26"/>
        <v>#REF!</v>
      </c>
      <c r="U55" s="151" t="e">
        <f t="shared" si="20"/>
        <v>#N/A</v>
      </c>
      <c r="V55" s="152">
        <f>'CRONOGRAMA DES'!V39</f>
        <v>0</v>
      </c>
      <c r="W55" s="153" t="e">
        <f t="shared" si="27"/>
        <v>#REF!</v>
      </c>
      <c r="X55" s="154" t="e">
        <f t="shared" si="21"/>
        <v>#REF!</v>
      </c>
    </row>
    <row r="56" spans="1:24" x14ac:dyDescent="0.25">
      <c r="A56" s="142" t="s">
        <v>132</v>
      </c>
      <c r="B56" s="147" t="e">
        <f>VLOOKUP(A56,Tabela3[[ITEM]:[DESCRIÇÃO]],6,FALSE)</f>
        <v>#N/A</v>
      </c>
      <c r="C56" s="155"/>
      <c r="D56" s="149" t="e">
        <f t="shared" si="14"/>
        <v>#N/A</v>
      </c>
      <c r="E56" s="150" t="e">
        <f t="shared" si="15"/>
        <v>#N/A</v>
      </c>
      <c r="F56" s="151" t="e">
        <f t="shared" si="16"/>
        <v>#N/A</v>
      </c>
      <c r="G56" s="152">
        <f>'CRONOGRAMA DES'!G40</f>
        <v>0</v>
      </c>
      <c r="H56" s="153" t="e">
        <f t="shared" si="17"/>
        <v>#REF!</v>
      </c>
      <c r="I56" s="151" t="e">
        <f t="shared" si="18"/>
        <v>#REF!</v>
      </c>
      <c r="J56" s="152" t="e">
        <f>'CRONOGRAMA DES'!#REF!</f>
        <v>#REF!</v>
      </c>
      <c r="K56" s="153" t="e">
        <f t="shared" si="28"/>
        <v>#REF!</v>
      </c>
      <c r="L56" s="151" t="e">
        <f t="shared" si="22"/>
        <v>#REF!</v>
      </c>
      <c r="M56" s="152" t="e">
        <f>'CRONOGRAMA DES'!#REF!</f>
        <v>#REF!</v>
      </c>
      <c r="N56" s="153" t="e">
        <f t="shared" si="19"/>
        <v>#REF!</v>
      </c>
      <c r="O56" s="151" t="e">
        <f t="shared" si="23"/>
        <v>#REF!</v>
      </c>
      <c r="P56" s="152" t="e">
        <f>'CRONOGRAMA DES'!#REF!</f>
        <v>#REF!</v>
      </c>
      <c r="Q56" s="153" t="e">
        <f t="shared" si="24"/>
        <v>#REF!</v>
      </c>
      <c r="R56" s="151" t="e">
        <f t="shared" si="25"/>
        <v>#REF!</v>
      </c>
      <c r="S56" s="152" t="e">
        <f>'CRONOGRAMA DES'!#REF!</f>
        <v>#REF!</v>
      </c>
      <c r="T56" s="153" t="e">
        <f t="shared" si="26"/>
        <v>#REF!</v>
      </c>
      <c r="U56" s="151" t="e">
        <f t="shared" si="20"/>
        <v>#N/A</v>
      </c>
      <c r="V56" s="152">
        <f>'CRONOGRAMA DES'!V40</f>
        <v>0.5</v>
      </c>
      <c r="W56" s="153" t="e">
        <f t="shared" si="27"/>
        <v>#REF!</v>
      </c>
      <c r="X56" s="154" t="e">
        <f t="shared" si="21"/>
        <v>#REF!</v>
      </c>
    </row>
    <row r="57" spans="1:24" x14ac:dyDescent="0.25">
      <c r="A57" s="142" t="s">
        <v>138</v>
      </c>
      <c r="B57" s="147" t="e">
        <f>VLOOKUP(A57,Tabela3[[ITEM]:[DESCRIÇÃO]],6,FALSE)</f>
        <v>#N/A</v>
      </c>
      <c r="C57" s="155"/>
      <c r="D57" s="149" t="e">
        <f t="shared" si="14"/>
        <v>#N/A</v>
      </c>
      <c r="E57" s="150" t="e">
        <f t="shared" si="15"/>
        <v>#N/A</v>
      </c>
      <c r="F57" s="151" t="e">
        <f t="shared" si="16"/>
        <v>#N/A</v>
      </c>
      <c r="G57" s="152">
        <f>'CRONOGRAMA DES'!G41</f>
        <v>0</v>
      </c>
      <c r="H57" s="153" t="e">
        <f t="shared" si="17"/>
        <v>#REF!</v>
      </c>
      <c r="I57" s="151" t="e">
        <f t="shared" si="18"/>
        <v>#REF!</v>
      </c>
      <c r="J57" s="152" t="e">
        <f>'CRONOGRAMA DES'!#REF!</f>
        <v>#REF!</v>
      </c>
      <c r="K57" s="153" t="e">
        <f t="shared" si="28"/>
        <v>#REF!</v>
      </c>
      <c r="L57" s="151" t="e">
        <f t="shared" si="22"/>
        <v>#REF!</v>
      </c>
      <c r="M57" s="152" t="e">
        <f>'CRONOGRAMA DES'!#REF!</f>
        <v>#REF!</v>
      </c>
      <c r="N57" s="153" t="e">
        <f t="shared" si="19"/>
        <v>#REF!</v>
      </c>
      <c r="O57" s="151" t="e">
        <f t="shared" si="23"/>
        <v>#REF!</v>
      </c>
      <c r="P57" s="152" t="e">
        <f>'CRONOGRAMA DES'!#REF!</f>
        <v>#REF!</v>
      </c>
      <c r="Q57" s="153" t="e">
        <f t="shared" si="24"/>
        <v>#REF!</v>
      </c>
      <c r="R57" s="151" t="e">
        <f t="shared" si="25"/>
        <v>#REF!</v>
      </c>
      <c r="S57" s="152" t="e">
        <f>'CRONOGRAMA DES'!#REF!</f>
        <v>#REF!</v>
      </c>
      <c r="T57" s="153" t="e">
        <f t="shared" si="26"/>
        <v>#REF!</v>
      </c>
      <c r="U57" s="151" t="e">
        <f t="shared" si="20"/>
        <v>#N/A</v>
      </c>
      <c r="V57" s="152">
        <f>'CRONOGRAMA DES'!V41</f>
        <v>0.4</v>
      </c>
      <c r="W57" s="153" t="e">
        <f t="shared" si="27"/>
        <v>#REF!</v>
      </c>
      <c r="X57" s="154" t="e">
        <f t="shared" si="21"/>
        <v>#REF!</v>
      </c>
    </row>
    <row r="58" spans="1:24" x14ac:dyDescent="0.25">
      <c r="A58" s="142" t="s">
        <v>139</v>
      </c>
      <c r="B58" s="147" t="e">
        <f>VLOOKUP(A58,Tabela3[[ITEM]:[DESCRIÇÃO]],6,FALSE)</f>
        <v>#N/A</v>
      </c>
      <c r="C58" s="155"/>
      <c r="D58" s="149" t="e">
        <f t="shared" si="14"/>
        <v>#N/A</v>
      </c>
      <c r="E58" s="150" t="e">
        <f t="shared" si="15"/>
        <v>#N/A</v>
      </c>
      <c r="F58" s="151" t="e">
        <f t="shared" si="16"/>
        <v>#N/A</v>
      </c>
      <c r="G58" s="152">
        <f>'CRONOGRAMA DES'!G42</f>
        <v>0</v>
      </c>
      <c r="H58" s="153" t="e">
        <f t="shared" si="17"/>
        <v>#REF!</v>
      </c>
      <c r="I58" s="151" t="e">
        <f t="shared" si="18"/>
        <v>#REF!</v>
      </c>
      <c r="J58" s="152" t="e">
        <f>'CRONOGRAMA DES'!#REF!</f>
        <v>#REF!</v>
      </c>
      <c r="K58" s="153" t="e">
        <f t="shared" si="28"/>
        <v>#REF!</v>
      </c>
      <c r="L58" s="151" t="e">
        <f t="shared" si="22"/>
        <v>#REF!</v>
      </c>
      <c r="M58" s="152" t="e">
        <f>'CRONOGRAMA DES'!#REF!</f>
        <v>#REF!</v>
      </c>
      <c r="N58" s="153" t="e">
        <f t="shared" si="19"/>
        <v>#REF!</v>
      </c>
      <c r="O58" s="151" t="e">
        <f t="shared" si="23"/>
        <v>#REF!</v>
      </c>
      <c r="P58" s="152" t="e">
        <f>'CRONOGRAMA DES'!#REF!</f>
        <v>#REF!</v>
      </c>
      <c r="Q58" s="153" t="e">
        <f t="shared" si="24"/>
        <v>#REF!</v>
      </c>
      <c r="R58" s="151" t="e">
        <f t="shared" si="25"/>
        <v>#REF!</v>
      </c>
      <c r="S58" s="152" t="e">
        <f>'CRONOGRAMA DES'!#REF!</f>
        <v>#REF!</v>
      </c>
      <c r="T58" s="153" t="e">
        <f t="shared" si="26"/>
        <v>#REF!</v>
      </c>
      <c r="U58" s="151" t="e">
        <f t="shared" si="20"/>
        <v>#N/A</v>
      </c>
      <c r="V58" s="152">
        <f>'CRONOGRAMA DES'!V42</f>
        <v>0.4</v>
      </c>
      <c r="W58" s="153" t="e">
        <f t="shared" si="27"/>
        <v>#REF!</v>
      </c>
      <c r="X58" s="154" t="e">
        <f t="shared" si="21"/>
        <v>#REF!</v>
      </c>
    </row>
    <row r="59" spans="1:24" x14ac:dyDescent="0.25">
      <c r="A59" s="142" t="s">
        <v>140</v>
      </c>
      <c r="B59" s="147" t="e">
        <f>VLOOKUP(A59,Tabela3[[ITEM]:[DESCRIÇÃO]],6,FALSE)</f>
        <v>#N/A</v>
      </c>
      <c r="C59" s="155"/>
      <c r="D59" s="149" t="e">
        <f t="shared" si="14"/>
        <v>#N/A</v>
      </c>
      <c r="E59" s="150" t="e">
        <f t="shared" si="15"/>
        <v>#N/A</v>
      </c>
      <c r="F59" s="151" t="e">
        <f t="shared" si="16"/>
        <v>#N/A</v>
      </c>
      <c r="G59" s="152">
        <f>'CRONOGRAMA DES'!G43</f>
        <v>0</v>
      </c>
      <c r="H59" s="153" t="e">
        <f t="shared" si="17"/>
        <v>#REF!</v>
      </c>
      <c r="I59" s="151" t="e">
        <f t="shared" si="18"/>
        <v>#REF!</v>
      </c>
      <c r="J59" s="152" t="e">
        <f>'CRONOGRAMA DES'!#REF!</f>
        <v>#REF!</v>
      </c>
      <c r="K59" s="153" t="e">
        <f t="shared" si="28"/>
        <v>#REF!</v>
      </c>
      <c r="L59" s="151" t="e">
        <f t="shared" si="22"/>
        <v>#REF!</v>
      </c>
      <c r="M59" s="152" t="e">
        <f>'CRONOGRAMA DES'!#REF!</f>
        <v>#REF!</v>
      </c>
      <c r="N59" s="153" t="e">
        <f t="shared" si="19"/>
        <v>#REF!</v>
      </c>
      <c r="O59" s="151" t="e">
        <f t="shared" si="23"/>
        <v>#REF!</v>
      </c>
      <c r="P59" s="152" t="e">
        <f>'CRONOGRAMA DES'!#REF!</f>
        <v>#REF!</v>
      </c>
      <c r="Q59" s="153" t="e">
        <f t="shared" si="24"/>
        <v>#REF!</v>
      </c>
      <c r="R59" s="151" t="e">
        <f t="shared" si="25"/>
        <v>#REF!</v>
      </c>
      <c r="S59" s="152" t="e">
        <f>'CRONOGRAMA DES'!#REF!</f>
        <v>#REF!</v>
      </c>
      <c r="T59" s="153" t="e">
        <f t="shared" si="26"/>
        <v>#REF!</v>
      </c>
      <c r="U59" s="151" t="e">
        <f t="shared" si="20"/>
        <v>#N/A</v>
      </c>
      <c r="V59" s="152">
        <f>'CRONOGRAMA DES'!V43</f>
        <v>0</v>
      </c>
      <c r="W59" s="153" t="e">
        <f t="shared" si="27"/>
        <v>#REF!</v>
      </c>
      <c r="X59" s="154" t="e">
        <f t="shared" si="21"/>
        <v>#REF!</v>
      </c>
    </row>
    <row r="60" spans="1:24" x14ac:dyDescent="0.25">
      <c r="A60" s="142" t="s">
        <v>252</v>
      </c>
      <c r="B60" s="147" t="e">
        <f>VLOOKUP(A60,Tabela3[[ITEM]:[DESCRIÇÃO]],6,FALSE)</f>
        <v>#N/A</v>
      </c>
      <c r="C60" s="155"/>
      <c r="D60" s="149" t="e">
        <f t="shared" si="14"/>
        <v>#N/A</v>
      </c>
      <c r="E60" s="150" t="e">
        <f t="shared" si="15"/>
        <v>#N/A</v>
      </c>
      <c r="F60" s="151" t="e">
        <f t="shared" si="16"/>
        <v>#N/A</v>
      </c>
      <c r="G60" s="152">
        <f>'CRONOGRAMA DES'!G44</f>
        <v>0</v>
      </c>
      <c r="H60" s="153" t="e">
        <f t="shared" si="17"/>
        <v>#REF!</v>
      </c>
      <c r="I60" s="151" t="e">
        <f t="shared" si="18"/>
        <v>#REF!</v>
      </c>
      <c r="J60" s="152" t="e">
        <f>'CRONOGRAMA DES'!#REF!</f>
        <v>#REF!</v>
      </c>
      <c r="K60" s="153" t="e">
        <f t="shared" si="28"/>
        <v>#REF!</v>
      </c>
      <c r="L60" s="151" t="e">
        <f t="shared" si="22"/>
        <v>#REF!</v>
      </c>
      <c r="M60" s="152" t="e">
        <f>'CRONOGRAMA DES'!#REF!</f>
        <v>#REF!</v>
      </c>
      <c r="N60" s="153" t="e">
        <f t="shared" si="19"/>
        <v>#REF!</v>
      </c>
      <c r="O60" s="151" t="e">
        <f t="shared" si="23"/>
        <v>#REF!</v>
      </c>
      <c r="P60" s="152" t="e">
        <f>'CRONOGRAMA DES'!#REF!</f>
        <v>#REF!</v>
      </c>
      <c r="Q60" s="153" t="e">
        <f t="shared" si="24"/>
        <v>#REF!</v>
      </c>
      <c r="R60" s="151" t="e">
        <f t="shared" si="25"/>
        <v>#REF!</v>
      </c>
      <c r="S60" s="152" t="e">
        <f>'CRONOGRAMA DES'!#REF!</f>
        <v>#REF!</v>
      </c>
      <c r="T60" s="153" t="e">
        <f t="shared" si="26"/>
        <v>#REF!</v>
      </c>
      <c r="U60" s="151" t="e">
        <f t="shared" si="20"/>
        <v>#N/A</v>
      </c>
      <c r="V60" s="152">
        <f>'CRONOGRAMA DES'!V44</f>
        <v>0.4</v>
      </c>
      <c r="W60" s="153" t="e">
        <f t="shared" si="27"/>
        <v>#REF!</v>
      </c>
      <c r="X60" s="154" t="e">
        <f t="shared" si="21"/>
        <v>#REF!</v>
      </c>
    </row>
    <row r="61" spans="1:24" x14ac:dyDescent="0.25">
      <c r="A61" s="142" t="s">
        <v>141</v>
      </c>
      <c r="B61" s="147" t="e">
        <f>VLOOKUP(A61,Tabela3[[ITEM]:[DESCRIÇÃO]],6,FALSE)</f>
        <v>#N/A</v>
      </c>
      <c r="C61" s="155"/>
      <c r="D61" s="149" t="e">
        <f t="shared" si="14"/>
        <v>#N/A</v>
      </c>
      <c r="E61" s="150" t="e">
        <f t="shared" si="15"/>
        <v>#N/A</v>
      </c>
      <c r="F61" s="151" t="e">
        <f t="shared" si="16"/>
        <v>#N/A</v>
      </c>
      <c r="G61" s="152">
        <f>'CRONOGRAMA DES'!G45</f>
        <v>0</v>
      </c>
      <c r="H61" s="153" t="e">
        <f t="shared" si="17"/>
        <v>#REF!</v>
      </c>
      <c r="I61" s="151" t="e">
        <f t="shared" si="18"/>
        <v>#REF!</v>
      </c>
      <c r="J61" s="152" t="e">
        <f>'CRONOGRAMA DES'!#REF!</f>
        <v>#REF!</v>
      </c>
      <c r="K61" s="153" t="e">
        <f t="shared" si="28"/>
        <v>#REF!</v>
      </c>
      <c r="L61" s="151" t="e">
        <f t="shared" si="22"/>
        <v>#REF!</v>
      </c>
      <c r="M61" s="152" t="e">
        <f>'CRONOGRAMA DES'!#REF!</f>
        <v>#REF!</v>
      </c>
      <c r="N61" s="153" t="e">
        <f t="shared" si="19"/>
        <v>#REF!</v>
      </c>
      <c r="O61" s="151" t="e">
        <f t="shared" si="23"/>
        <v>#REF!</v>
      </c>
      <c r="P61" s="152" t="e">
        <f>'CRONOGRAMA DES'!#REF!</f>
        <v>#REF!</v>
      </c>
      <c r="Q61" s="153" t="e">
        <f t="shared" si="24"/>
        <v>#REF!</v>
      </c>
      <c r="R61" s="151" t="e">
        <f t="shared" si="25"/>
        <v>#REF!</v>
      </c>
      <c r="S61" s="152" t="e">
        <f>'CRONOGRAMA DES'!#REF!</f>
        <v>#REF!</v>
      </c>
      <c r="T61" s="153" t="e">
        <f t="shared" si="26"/>
        <v>#REF!</v>
      </c>
      <c r="U61" s="151" t="e">
        <f t="shared" si="20"/>
        <v>#N/A</v>
      </c>
      <c r="V61" s="152">
        <f>'CRONOGRAMA DES'!V45</f>
        <v>0.5</v>
      </c>
      <c r="W61" s="153" t="e">
        <f t="shared" si="27"/>
        <v>#REF!</v>
      </c>
      <c r="X61" s="154" t="e">
        <f t="shared" si="21"/>
        <v>#REF!</v>
      </c>
    </row>
    <row r="62" spans="1:24" x14ac:dyDescent="0.25">
      <c r="A62" s="142" t="s">
        <v>142</v>
      </c>
      <c r="B62" s="147" t="e">
        <f>VLOOKUP(A62,Tabela3[[ITEM]:[DESCRIÇÃO]],6,FALSE)</f>
        <v>#N/A</v>
      </c>
      <c r="C62" s="155"/>
      <c r="D62" s="149" t="e">
        <f t="shared" si="14"/>
        <v>#N/A</v>
      </c>
      <c r="E62" s="150" t="e">
        <f t="shared" si="15"/>
        <v>#N/A</v>
      </c>
      <c r="F62" s="151" t="e">
        <f t="shared" si="16"/>
        <v>#N/A</v>
      </c>
      <c r="G62" s="152">
        <f>'CRONOGRAMA DES'!G46</f>
        <v>0.2</v>
      </c>
      <c r="H62" s="153" t="e">
        <f t="shared" si="17"/>
        <v>#REF!</v>
      </c>
      <c r="I62" s="151" t="e">
        <f t="shared" si="18"/>
        <v>#REF!</v>
      </c>
      <c r="J62" s="152" t="e">
        <f>'CRONOGRAMA DES'!#REF!</f>
        <v>#REF!</v>
      </c>
      <c r="K62" s="153" t="e">
        <f t="shared" si="28"/>
        <v>#REF!</v>
      </c>
      <c r="L62" s="151" t="e">
        <f t="shared" si="22"/>
        <v>#REF!</v>
      </c>
      <c r="M62" s="152" t="e">
        <f>'CRONOGRAMA DES'!#REF!</f>
        <v>#REF!</v>
      </c>
      <c r="N62" s="153" t="e">
        <f t="shared" si="19"/>
        <v>#REF!</v>
      </c>
      <c r="O62" s="151" t="e">
        <f t="shared" si="23"/>
        <v>#REF!</v>
      </c>
      <c r="P62" s="152" t="e">
        <f>'CRONOGRAMA DES'!#REF!</f>
        <v>#REF!</v>
      </c>
      <c r="Q62" s="153" t="e">
        <f t="shared" si="24"/>
        <v>#REF!</v>
      </c>
      <c r="R62" s="151" t="e">
        <f t="shared" si="25"/>
        <v>#REF!</v>
      </c>
      <c r="S62" s="152" t="e">
        <f>'CRONOGRAMA DES'!#REF!</f>
        <v>#REF!</v>
      </c>
      <c r="T62" s="153" t="e">
        <f t="shared" si="26"/>
        <v>#REF!</v>
      </c>
      <c r="U62" s="151" t="e">
        <f t="shared" si="20"/>
        <v>#N/A</v>
      </c>
      <c r="V62" s="152">
        <f>'CRONOGRAMA DES'!V46</f>
        <v>0</v>
      </c>
      <c r="W62" s="153" t="e">
        <f t="shared" si="27"/>
        <v>#REF!</v>
      </c>
      <c r="X62" s="154" t="e">
        <f t="shared" si="21"/>
        <v>#REF!</v>
      </c>
    </row>
    <row r="63" spans="1:24" x14ac:dyDescent="0.25">
      <c r="A63" s="142" t="s">
        <v>395</v>
      </c>
      <c r="B63" s="147" t="e">
        <f>VLOOKUP(A63,Tabela3[[ITEM]:[DESCRIÇÃO]],6,FALSE)</f>
        <v>#N/A</v>
      </c>
      <c r="C63" s="155"/>
      <c r="D63" s="149" t="e">
        <f t="shared" si="14"/>
        <v>#N/A</v>
      </c>
      <c r="E63" s="150" t="e">
        <f t="shared" si="15"/>
        <v>#N/A</v>
      </c>
      <c r="F63" s="151" t="e">
        <f t="shared" si="16"/>
        <v>#N/A</v>
      </c>
      <c r="G63" s="152">
        <f>'CRONOGRAMA DES'!G47</f>
        <v>0</v>
      </c>
      <c r="H63" s="153" t="e">
        <f t="shared" si="17"/>
        <v>#REF!</v>
      </c>
      <c r="I63" s="151" t="e">
        <f t="shared" si="18"/>
        <v>#REF!</v>
      </c>
      <c r="J63" s="152" t="e">
        <f>'CRONOGRAMA DES'!#REF!</f>
        <v>#REF!</v>
      </c>
      <c r="K63" s="153" t="e">
        <f t="shared" si="28"/>
        <v>#REF!</v>
      </c>
      <c r="L63" s="151" t="e">
        <f t="shared" si="22"/>
        <v>#REF!</v>
      </c>
      <c r="M63" s="152" t="e">
        <f>'CRONOGRAMA DES'!#REF!</f>
        <v>#REF!</v>
      </c>
      <c r="N63" s="153" t="e">
        <f t="shared" si="19"/>
        <v>#REF!</v>
      </c>
      <c r="O63" s="151" t="e">
        <f t="shared" si="23"/>
        <v>#REF!</v>
      </c>
      <c r="P63" s="152" t="e">
        <f>'CRONOGRAMA DES'!#REF!</f>
        <v>#REF!</v>
      </c>
      <c r="Q63" s="153" t="e">
        <f t="shared" si="24"/>
        <v>#REF!</v>
      </c>
      <c r="R63" s="151" t="e">
        <f t="shared" si="25"/>
        <v>#REF!</v>
      </c>
      <c r="S63" s="152" t="e">
        <f>'CRONOGRAMA DES'!#REF!</f>
        <v>#REF!</v>
      </c>
      <c r="T63" s="153" t="e">
        <f t="shared" si="26"/>
        <v>#REF!</v>
      </c>
      <c r="U63" s="151" t="e">
        <f t="shared" si="20"/>
        <v>#N/A</v>
      </c>
      <c r="V63" s="152">
        <f>'CRONOGRAMA DES'!V47</f>
        <v>0.5</v>
      </c>
      <c r="W63" s="153" t="e">
        <f t="shared" si="27"/>
        <v>#REF!</v>
      </c>
      <c r="X63" s="154" t="e">
        <f t="shared" si="21"/>
        <v>#REF!</v>
      </c>
    </row>
    <row r="64" spans="1:24" x14ac:dyDescent="0.25">
      <c r="A64" s="142" t="s">
        <v>565</v>
      </c>
      <c r="B64" s="147" t="e">
        <f>VLOOKUP(A64,Tabela3[[ITEM]:[DESCRIÇÃO]],6,FALSE)</f>
        <v>#N/A</v>
      </c>
      <c r="C64" s="155"/>
      <c r="D64" s="149" t="e">
        <f t="shared" si="14"/>
        <v>#N/A</v>
      </c>
      <c r="E64" s="150" t="e">
        <f t="shared" si="15"/>
        <v>#N/A</v>
      </c>
      <c r="F64" s="151" t="e">
        <f t="shared" si="16"/>
        <v>#N/A</v>
      </c>
      <c r="G64" s="152">
        <f>'CRONOGRAMA DES'!G48</f>
        <v>0.15</v>
      </c>
      <c r="H64" s="153" t="e">
        <f t="shared" si="17"/>
        <v>#REF!</v>
      </c>
      <c r="I64" s="151" t="e">
        <f t="shared" si="18"/>
        <v>#REF!</v>
      </c>
      <c r="J64" s="152" t="e">
        <f>'CRONOGRAMA DES'!#REF!</f>
        <v>#REF!</v>
      </c>
      <c r="K64" s="153" t="e">
        <f>J64+H64</f>
        <v>#REF!</v>
      </c>
      <c r="L64" s="151" t="e">
        <f t="shared" si="22"/>
        <v>#REF!</v>
      </c>
      <c r="M64" s="152" t="e">
        <f>'CRONOGRAMA DES'!#REF!</f>
        <v>#REF!</v>
      </c>
      <c r="N64" s="153" t="e">
        <f>M64+K64</f>
        <v>#REF!</v>
      </c>
      <c r="O64" s="151" t="e">
        <f t="shared" si="23"/>
        <v>#REF!</v>
      </c>
      <c r="P64" s="152" t="e">
        <f>'CRONOGRAMA DES'!#REF!</f>
        <v>#REF!</v>
      </c>
      <c r="Q64" s="153" t="e">
        <f>P64+N64</f>
        <v>#REF!</v>
      </c>
      <c r="R64" s="151" t="e">
        <f t="shared" si="25"/>
        <v>#REF!</v>
      </c>
      <c r="S64" s="152" t="e">
        <f>'CRONOGRAMA DES'!#REF!</f>
        <v>#REF!</v>
      </c>
      <c r="T64" s="153" t="e">
        <f t="shared" si="26"/>
        <v>#REF!</v>
      </c>
      <c r="U64" s="151" t="e">
        <f t="shared" si="20"/>
        <v>#N/A</v>
      </c>
      <c r="V64" s="152">
        <f>'CRONOGRAMA DES'!V48</f>
        <v>0.1</v>
      </c>
      <c r="W64" s="153" t="e">
        <f t="shared" si="27"/>
        <v>#REF!</v>
      </c>
      <c r="X64" s="154" t="e">
        <f t="shared" si="21"/>
        <v>#REF!</v>
      </c>
    </row>
    <row r="65" spans="1:24" x14ac:dyDescent="0.25">
      <c r="A65" s="142" t="s">
        <v>566</v>
      </c>
      <c r="B65" s="147" t="e">
        <f>VLOOKUP(A65,Tabela3[[ITEM]:[DESCRIÇÃO]],6,FALSE)</f>
        <v>#N/A</v>
      </c>
      <c r="C65" s="155"/>
      <c r="D65" s="149" t="e">
        <f t="shared" si="14"/>
        <v>#N/A</v>
      </c>
      <c r="E65" s="150" t="e">
        <f t="shared" si="15"/>
        <v>#N/A</v>
      </c>
      <c r="F65" s="151" t="e">
        <f t="shared" si="16"/>
        <v>#N/A</v>
      </c>
      <c r="G65" s="152">
        <f>'CRONOGRAMA DES'!G49</f>
        <v>0.03</v>
      </c>
      <c r="H65" s="153" t="e">
        <f t="shared" si="17"/>
        <v>#REF!</v>
      </c>
      <c r="I65" s="151" t="e">
        <f t="shared" si="18"/>
        <v>#REF!</v>
      </c>
      <c r="J65" s="152" t="e">
        <f>'CRONOGRAMA DES'!#REF!</f>
        <v>#REF!</v>
      </c>
      <c r="K65" s="153" t="e">
        <f>J65+H65</f>
        <v>#REF!</v>
      </c>
      <c r="L65" s="151" t="e">
        <f t="shared" si="22"/>
        <v>#REF!</v>
      </c>
      <c r="M65" s="152" t="e">
        <f>'CRONOGRAMA DES'!#REF!</f>
        <v>#REF!</v>
      </c>
      <c r="N65" s="153" t="e">
        <f>M65+K65</f>
        <v>#REF!</v>
      </c>
      <c r="O65" s="151" t="e">
        <f t="shared" si="23"/>
        <v>#REF!</v>
      </c>
      <c r="P65" s="152" t="e">
        <f>'CRONOGRAMA DES'!#REF!</f>
        <v>#REF!</v>
      </c>
      <c r="Q65" s="153" t="e">
        <f>P65+N65</f>
        <v>#REF!</v>
      </c>
      <c r="R65" s="151" t="e">
        <f t="shared" si="25"/>
        <v>#REF!</v>
      </c>
      <c r="S65" s="152" t="e">
        <f>'CRONOGRAMA DES'!#REF!</f>
        <v>#REF!</v>
      </c>
      <c r="T65" s="153" t="e">
        <f>S65+Q65</f>
        <v>#REF!</v>
      </c>
      <c r="U65" s="151" t="e">
        <f t="shared" si="20"/>
        <v>#N/A</v>
      </c>
      <c r="V65" s="152">
        <v>0.13</v>
      </c>
      <c r="W65" s="153" t="e">
        <f t="shared" si="27"/>
        <v>#REF!</v>
      </c>
      <c r="X65" s="154" t="e">
        <f t="shared" si="21"/>
        <v>#REF!</v>
      </c>
    </row>
    <row r="66" spans="1:24" x14ac:dyDescent="0.25">
      <c r="A66" s="142" t="s">
        <v>567</v>
      </c>
      <c r="B66" s="147" t="e">
        <f>VLOOKUP(A66,Tabela3[[ITEM]:[DESCRIÇÃO]],6,FALSE)</f>
        <v>#N/A</v>
      </c>
      <c r="C66" s="155"/>
      <c r="D66" s="149" t="e">
        <f t="shared" si="14"/>
        <v>#N/A</v>
      </c>
      <c r="E66" s="150" t="e">
        <f t="shared" si="15"/>
        <v>#N/A</v>
      </c>
      <c r="F66" s="151" t="e">
        <f t="shared" si="16"/>
        <v>#N/A</v>
      </c>
      <c r="G66" s="152">
        <f>'CRONOGRAMA DES'!G50</f>
        <v>0</v>
      </c>
      <c r="H66" s="153" t="e">
        <f t="shared" si="17"/>
        <v>#REF!</v>
      </c>
      <c r="I66" s="151" t="e">
        <f t="shared" si="18"/>
        <v>#REF!</v>
      </c>
      <c r="J66" s="152" t="e">
        <f>'CRONOGRAMA DES'!#REF!</f>
        <v>#REF!</v>
      </c>
      <c r="K66" s="153" t="e">
        <f>J66+H66</f>
        <v>#REF!</v>
      </c>
      <c r="L66" s="151" t="e">
        <f t="shared" si="22"/>
        <v>#REF!</v>
      </c>
      <c r="M66" s="152" t="e">
        <f>'CRONOGRAMA DES'!#REF!</f>
        <v>#REF!</v>
      </c>
      <c r="N66" s="153" t="e">
        <f>M66+K66</f>
        <v>#REF!</v>
      </c>
      <c r="O66" s="151" t="e">
        <f t="shared" si="23"/>
        <v>#REF!</v>
      </c>
      <c r="P66" s="152" t="e">
        <f>'CRONOGRAMA DES'!#REF!</f>
        <v>#REF!</v>
      </c>
      <c r="Q66" s="153" t="e">
        <f>P66+N66</f>
        <v>#REF!</v>
      </c>
      <c r="R66" s="151" t="e">
        <f t="shared" si="25"/>
        <v>#REF!</v>
      </c>
      <c r="S66" s="152" t="e">
        <f>'CRONOGRAMA DES'!#REF!</f>
        <v>#REF!</v>
      </c>
      <c r="T66" s="153" t="e">
        <f t="shared" si="26"/>
        <v>#REF!</v>
      </c>
      <c r="U66" s="151" t="e">
        <f t="shared" si="20"/>
        <v>#N/A</v>
      </c>
      <c r="V66" s="152">
        <f>'CRONOGRAMA DES'!V50</f>
        <v>1</v>
      </c>
      <c r="W66" s="153" t="e">
        <f t="shared" si="27"/>
        <v>#REF!</v>
      </c>
      <c r="X66" s="154" t="e">
        <f t="shared" si="21"/>
        <v>#REF!</v>
      </c>
    </row>
    <row r="67" spans="1:24" x14ac:dyDescent="0.25">
      <c r="A67" s="3"/>
      <c r="B67" s="156"/>
      <c r="C67" s="156"/>
      <c r="D67" s="157" t="e">
        <f>SUM(D42:D66)</f>
        <v>#N/A</v>
      </c>
      <c r="E67" s="158" t="e">
        <f>SUM(E42:E66)</f>
        <v>#N/A</v>
      </c>
      <c r="F67" s="159"/>
      <c r="G67" s="160"/>
      <c r="H67" s="161"/>
      <c r="I67" s="159"/>
      <c r="J67" s="160"/>
      <c r="K67" s="162"/>
      <c r="L67" s="163"/>
      <c r="M67" s="164"/>
      <c r="N67" s="165"/>
      <c r="O67" s="163"/>
      <c r="P67" s="164"/>
      <c r="Q67" s="165"/>
      <c r="R67" s="166"/>
      <c r="S67" s="167"/>
      <c r="T67" s="168"/>
      <c r="U67" s="166"/>
      <c r="V67" s="167"/>
      <c r="W67" s="168"/>
      <c r="X67" s="169"/>
    </row>
    <row r="68" spans="1:24" x14ac:dyDescent="0.25">
      <c r="A68" s="5"/>
      <c r="B68" s="841" t="s">
        <v>8</v>
      </c>
      <c r="C68" s="841"/>
      <c r="D68" s="841"/>
      <c r="E68" s="842"/>
      <c r="F68" s="170" t="e">
        <f>SUM(F42:F66)</f>
        <v>#N/A</v>
      </c>
      <c r="G68" s="171"/>
      <c r="H68" s="172"/>
      <c r="I68" s="170" t="e">
        <f>SUM(I42:I66)</f>
        <v>#REF!</v>
      </c>
      <c r="J68" s="171"/>
      <c r="K68" s="172"/>
      <c r="L68" s="170" t="e">
        <f>SUM(L42:L66)</f>
        <v>#REF!</v>
      </c>
      <c r="M68" s="171"/>
      <c r="N68" s="172"/>
      <c r="O68" s="170" t="e">
        <f>SUM(O42:O66)</f>
        <v>#REF!</v>
      </c>
      <c r="P68" s="171"/>
      <c r="Q68" s="172"/>
      <c r="R68" s="170" t="e">
        <f>SUM(R42:R66)</f>
        <v>#REF!</v>
      </c>
      <c r="S68" s="171"/>
      <c r="T68" s="172"/>
      <c r="U68" s="170" t="e">
        <f>SUM(U42:U66)</f>
        <v>#N/A</v>
      </c>
      <c r="V68" s="171"/>
      <c r="W68" s="172"/>
      <c r="X68" s="169"/>
    </row>
    <row r="69" spans="1:24" x14ac:dyDescent="0.25">
      <c r="A69" s="4"/>
      <c r="B69" s="824" t="s">
        <v>9</v>
      </c>
      <c r="C69" s="824"/>
      <c r="D69" s="824"/>
      <c r="E69" s="825"/>
      <c r="F69" s="187" t="e">
        <f>F68+U38</f>
        <v>#N/A</v>
      </c>
      <c r="G69" s="188" t="e">
        <f>F68/$E$67</f>
        <v>#N/A</v>
      </c>
      <c r="H69" s="189" t="e">
        <f>G69+W38</f>
        <v>#N/A</v>
      </c>
      <c r="I69" s="187" t="e">
        <f>I68+F69</f>
        <v>#REF!</v>
      </c>
      <c r="J69" s="188" t="e">
        <f>I68/$E$67</f>
        <v>#REF!</v>
      </c>
      <c r="K69" s="189" t="e">
        <f>J69+H69</f>
        <v>#REF!</v>
      </c>
      <c r="L69" s="187" t="e">
        <f>L68+I69</f>
        <v>#REF!</v>
      </c>
      <c r="M69" s="188" t="e">
        <f>L68/$E$67</f>
        <v>#REF!</v>
      </c>
      <c r="N69" s="189" t="e">
        <f>M69+K69</f>
        <v>#REF!</v>
      </c>
      <c r="O69" s="187" t="e">
        <f>O68+L69</f>
        <v>#REF!</v>
      </c>
      <c r="P69" s="188" t="e">
        <f>O68/$E$67</f>
        <v>#REF!</v>
      </c>
      <c r="Q69" s="189" t="e">
        <f>P69+N69</f>
        <v>#REF!</v>
      </c>
      <c r="R69" s="187" t="e">
        <f>R68+O69</f>
        <v>#REF!</v>
      </c>
      <c r="S69" s="188" t="e">
        <f>R68/$E$67</f>
        <v>#REF!</v>
      </c>
      <c r="T69" s="189" t="e">
        <f>S69+Q69</f>
        <v>#REF!</v>
      </c>
      <c r="U69" s="187" t="e">
        <f>U68+R69</f>
        <v>#N/A</v>
      </c>
      <c r="V69" s="188" t="e">
        <f>U68/$E$67</f>
        <v>#N/A</v>
      </c>
      <c r="W69" s="189" t="e">
        <f>V69+T69</f>
        <v>#N/A</v>
      </c>
      <c r="X69" s="146"/>
    </row>
  </sheetData>
  <mergeCells count="33">
    <mergeCell ref="B69:E69"/>
    <mergeCell ref="I40:K40"/>
    <mergeCell ref="L40:N40"/>
    <mergeCell ref="O40:Q40"/>
    <mergeCell ref="R40:T40"/>
    <mergeCell ref="U40:W40"/>
    <mergeCell ref="B68:E68"/>
    <mergeCell ref="O9:Q9"/>
    <mergeCell ref="R9:T9"/>
    <mergeCell ref="U9:W9"/>
    <mergeCell ref="B37:E37"/>
    <mergeCell ref="B38:E38"/>
    <mergeCell ref="A40:A41"/>
    <mergeCell ref="B40:C41"/>
    <mergeCell ref="D40:D41"/>
    <mergeCell ref="E40:E41"/>
    <mergeCell ref="F40:H40"/>
    <mergeCell ref="B7:T7"/>
    <mergeCell ref="U7:X8"/>
    <mergeCell ref="B8:T8"/>
    <mergeCell ref="A9:A10"/>
    <mergeCell ref="B9:C10"/>
    <mergeCell ref="D9:D10"/>
    <mergeCell ref="E9:E10"/>
    <mergeCell ref="F9:H9"/>
    <mergeCell ref="I9:K9"/>
    <mergeCell ref="L9:N9"/>
    <mergeCell ref="B6:T6"/>
    <mergeCell ref="C1:X1"/>
    <mergeCell ref="C2:X2"/>
    <mergeCell ref="C3:X3"/>
    <mergeCell ref="A4:X4"/>
    <mergeCell ref="B5:T5"/>
  </mergeCells>
  <pageMargins left="0.23622047244094491" right="0.23622047244094491" top="0.35433070866141736" bottom="0.55118110236220474" header="0.31496062992125984" footer="0.31496062992125984"/>
  <pageSetup paperSize="9" scale="44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79998168889431442"/>
    <pageSetUpPr fitToPage="1"/>
  </sheetPr>
  <dimension ref="A1:F58"/>
  <sheetViews>
    <sheetView view="pageBreakPreview" zoomScaleNormal="100" zoomScaleSheetLayoutView="100" workbookViewId="0">
      <selection activeCell="K12" sqref="K12"/>
    </sheetView>
  </sheetViews>
  <sheetFormatPr defaultColWidth="8.85546875" defaultRowHeight="12.75" x14ac:dyDescent="0.2"/>
  <cols>
    <col min="1" max="1" width="21.28515625" style="8" customWidth="1"/>
    <col min="2" max="2" width="21.85546875" style="8" customWidth="1"/>
    <col min="3" max="3" width="18.28515625" style="8" customWidth="1"/>
    <col min="4" max="4" width="23.5703125" style="8" customWidth="1"/>
    <col min="5" max="5" width="16.140625" style="8" customWidth="1"/>
    <col min="6" max="6" width="9.5703125" style="8" customWidth="1"/>
    <col min="7" max="16384" width="8.85546875" style="8"/>
  </cols>
  <sheetData>
    <row r="1" spans="1:6" ht="13.15" customHeight="1" x14ac:dyDescent="0.2">
      <c r="A1" s="17"/>
      <c r="B1" s="871" t="str">
        <f>'ORÇAMENTO_N DES'!D2</f>
        <v>GOVERNO DO ESTADO DE MATO GROSSO DO SUL</v>
      </c>
      <c r="C1" s="872"/>
      <c r="D1" s="872"/>
      <c r="E1" s="872"/>
      <c r="F1" s="873"/>
    </row>
    <row r="2" spans="1:6" ht="13.9" customHeight="1" x14ac:dyDescent="0.2">
      <c r="A2" s="9"/>
      <c r="B2" s="874" t="str">
        <f>'ORÇAMENTO_N DES'!D3</f>
        <v>PREFEITURA MUNICIPAL DE RIBAS DO RIO PARDO</v>
      </c>
      <c r="C2" s="875"/>
      <c r="D2" s="875"/>
      <c r="E2" s="875"/>
      <c r="F2" s="876"/>
    </row>
    <row r="3" spans="1:6" ht="13.15" customHeight="1" x14ac:dyDescent="0.2">
      <c r="A3" s="9"/>
      <c r="B3" s="877" t="str">
        <f>'ORÇAMENTO_N DES'!D4</f>
        <v>SECRETARIA DE OBRAS</v>
      </c>
      <c r="C3" s="878"/>
      <c r="D3" s="878"/>
      <c r="E3" s="878"/>
      <c r="F3" s="879"/>
    </row>
    <row r="4" spans="1:6" ht="20.25" x14ac:dyDescent="0.2">
      <c r="A4" s="863" t="s">
        <v>886</v>
      </c>
      <c r="B4" s="863"/>
      <c r="C4" s="863"/>
      <c r="D4" s="863"/>
      <c r="E4" s="863"/>
      <c r="F4" s="863"/>
    </row>
    <row r="5" spans="1:6" ht="24" customHeight="1" x14ac:dyDescent="0.2">
      <c r="A5" s="31" t="s">
        <v>63</v>
      </c>
      <c r="B5" s="880" t="str">
        <f>'ORÇAMENTO_N DES'!C6</f>
        <v>CONSTRUÇÃO DE PONTOS DE ÔNIBUS</v>
      </c>
      <c r="C5" s="598"/>
      <c r="D5" s="881"/>
      <c r="E5" s="137" t="s">
        <v>45</v>
      </c>
      <c r="F5" s="28"/>
    </row>
    <row r="6" spans="1:6" ht="12.6" customHeight="1" x14ac:dyDescent="0.2">
      <c r="A6" s="31" t="s">
        <v>2</v>
      </c>
      <c r="B6" s="882" t="str">
        <f>'ORÇAMENTO_N DES'!C7</f>
        <v>RIBAS DO RIO PARDO - MS</v>
      </c>
      <c r="C6" s="883"/>
      <c r="D6" s="884"/>
      <c r="E6" s="866"/>
      <c r="F6" s="787"/>
    </row>
    <row r="7" spans="1:6" ht="12.6" customHeight="1" x14ac:dyDescent="0.2">
      <c r="A7" s="31" t="s">
        <v>3</v>
      </c>
      <c r="B7" s="882" t="str">
        <f>'ORÇAMENTO_N DES'!C8</f>
        <v>RIBAS DO RIO PARDO</v>
      </c>
      <c r="C7" s="883"/>
      <c r="D7" s="884"/>
      <c r="E7" s="885" t="str">
        <f>'ORÇAMENTO_N DES'!M7</f>
        <v>_________________________________
FÁBIO MARQUES RIBEIRO
CREA - 15.276 D</v>
      </c>
      <c r="F7" s="886"/>
    </row>
    <row r="8" spans="1:6" ht="18" customHeight="1" x14ac:dyDescent="0.2">
      <c r="A8" s="31" t="s">
        <v>66</v>
      </c>
      <c r="B8" s="889" t="str">
        <f>'ORÇAMENTO_N DES'!C11</f>
        <v>AGESUL(JUNHO/2024) SINAPI (JUNHO/2024 SBC (JUNHO/2024)</v>
      </c>
      <c r="C8" s="889"/>
      <c r="D8" s="890"/>
      <c r="E8" s="887"/>
      <c r="F8" s="888"/>
    </row>
    <row r="9" spans="1:6" ht="4.1500000000000004" customHeight="1" x14ac:dyDescent="0.2">
      <c r="A9" s="853"/>
      <c r="B9" s="854"/>
      <c r="C9" s="854"/>
      <c r="D9" s="854"/>
      <c r="E9" s="854"/>
      <c r="F9" s="11"/>
    </row>
    <row r="10" spans="1:6" ht="24" customHeight="1" x14ac:dyDescent="0.2">
      <c r="A10" s="10" t="s">
        <v>24</v>
      </c>
      <c r="B10" s="855" t="s">
        <v>340</v>
      </c>
      <c r="C10" s="856"/>
      <c r="D10" s="856"/>
      <c r="E10" s="856"/>
      <c r="F10" s="857"/>
    </row>
    <row r="11" spans="1:6" x14ac:dyDescent="0.2">
      <c r="A11" s="12"/>
      <c r="B11" s="207"/>
      <c r="C11" s="207"/>
      <c r="D11" s="207"/>
      <c r="E11" s="207"/>
      <c r="F11" s="11"/>
    </row>
    <row r="12" spans="1:6" x14ac:dyDescent="0.2">
      <c r="A12" s="15" t="s">
        <v>25</v>
      </c>
      <c r="B12" s="207"/>
      <c r="C12" s="207"/>
      <c r="D12" s="208"/>
      <c r="E12" s="208"/>
      <c r="F12" s="13"/>
    </row>
    <row r="13" spans="1:6" x14ac:dyDescent="0.2">
      <c r="A13" s="12"/>
      <c r="B13" s="207" t="s">
        <v>26</v>
      </c>
      <c r="C13" s="209">
        <v>3.65</v>
      </c>
      <c r="D13" s="210" t="s">
        <v>0</v>
      </c>
      <c r="E13" s="208"/>
      <c r="F13" s="13"/>
    </row>
    <row r="14" spans="1:6" x14ac:dyDescent="0.2">
      <c r="A14" s="12"/>
      <c r="B14" s="207" t="s">
        <v>27</v>
      </c>
      <c r="C14" s="211">
        <v>5</v>
      </c>
      <c r="D14" s="210" t="s">
        <v>0</v>
      </c>
      <c r="E14" s="208"/>
      <c r="F14" s="13"/>
    </row>
    <row r="15" spans="1:6" x14ac:dyDescent="0.2">
      <c r="A15" s="12"/>
      <c r="B15" s="207" t="s">
        <v>28</v>
      </c>
      <c r="C15" s="16">
        <v>100</v>
      </c>
      <c r="D15" s="210" t="s">
        <v>0</v>
      </c>
      <c r="E15" s="208"/>
      <c r="F15" s="13"/>
    </row>
    <row r="16" spans="1:6" x14ac:dyDescent="0.2">
      <c r="A16" s="12"/>
      <c r="B16" s="207"/>
      <c r="C16" s="16"/>
      <c r="D16" s="210"/>
      <c r="E16" s="208"/>
      <c r="F16" s="13"/>
    </row>
    <row r="17" spans="1:6" x14ac:dyDescent="0.2">
      <c r="A17" s="12"/>
      <c r="B17" s="212" t="s">
        <v>29</v>
      </c>
      <c r="C17" s="213">
        <f>C13+(C14*C15/100)+C16</f>
        <v>8.65</v>
      </c>
      <c r="D17" s="214" t="s">
        <v>0</v>
      </c>
      <c r="E17" s="215"/>
      <c r="F17" s="13"/>
    </row>
    <row r="18" spans="1:6" x14ac:dyDescent="0.2">
      <c r="A18" s="12"/>
      <c r="B18" s="207"/>
      <c r="C18" s="207"/>
      <c r="D18" s="215"/>
      <c r="E18" s="858" t="s">
        <v>30</v>
      </c>
      <c r="F18" s="13"/>
    </row>
    <row r="19" spans="1:6" x14ac:dyDescent="0.2">
      <c r="A19" s="12"/>
      <c r="B19" s="216" t="s">
        <v>341</v>
      </c>
      <c r="C19" s="216" t="s">
        <v>342</v>
      </c>
      <c r="D19" s="215" t="s">
        <v>343</v>
      </c>
      <c r="E19" s="859"/>
      <c r="F19" s="13"/>
    </row>
    <row r="20" spans="1:6" x14ac:dyDescent="0.2">
      <c r="A20" s="12" t="s">
        <v>344</v>
      </c>
      <c r="B20" s="217">
        <v>0.03</v>
      </c>
      <c r="C20" s="217">
        <v>0.04</v>
      </c>
      <c r="D20" s="217">
        <v>5.5E-2</v>
      </c>
      <c r="E20" s="62">
        <v>3</v>
      </c>
      <c r="F20" s="13"/>
    </row>
    <row r="21" spans="1:6" x14ac:dyDescent="0.2">
      <c r="A21" s="12" t="s">
        <v>345</v>
      </c>
      <c r="B21" s="217">
        <v>8.0000000000000002E-3</v>
      </c>
      <c r="C21" s="217">
        <v>8.0000000000000002E-3</v>
      </c>
      <c r="D21" s="217">
        <v>0.01</v>
      </c>
      <c r="E21" s="62">
        <v>0.8</v>
      </c>
      <c r="F21" s="13"/>
    </row>
    <row r="22" spans="1:6" x14ac:dyDescent="0.2">
      <c r="A22" s="12" t="s">
        <v>346</v>
      </c>
      <c r="B22" s="217">
        <v>9.7000000000000003E-3</v>
      </c>
      <c r="C22" s="217">
        <v>1.2699999999999999E-2</v>
      </c>
      <c r="D22" s="217">
        <v>1.2699999999999999E-2</v>
      </c>
      <c r="E22" s="62">
        <v>0.97</v>
      </c>
      <c r="F22" s="13"/>
    </row>
    <row r="23" spans="1:6" x14ac:dyDescent="0.2">
      <c r="A23" s="12" t="s">
        <v>347</v>
      </c>
      <c r="B23" s="217">
        <v>5.8999999999999999E-3</v>
      </c>
      <c r="C23" s="217">
        <v>1.23E-2</v>
      </c>
      <c r="D23" s="217">
        <v>1.3899999999999999E-2</v>
      </c>
      <c r="E23" s="62">
        <v>0.59</v>
      </c>
      <c r="F23" s="13"/>
    </row>
    <row r="24" spans="1:6" x14ac:dyDescent="0.2">
      <c r="A24" s="12" t="s">
        <v>348</v>
      </c>
      <c r="B24" s="217">
        <v>6.1600000000000002E-2</v>
      </c>
      <c r="C24" s="217">
        <v>7.3999999999999996E-2</v>
      </c>
      <c r="D24" s="217">
        <v>8.9599999999999999E-2</v>
      </c>
      <c r="E24" s="62">
        <v>6.16</v>
      </c>
      <c r="F24" s="13"/>
    </row>
    <row r="25" spans="1:6" x14ac:dyDescent="0.2">
      <c r="A25" s="12"/>
      <c r="B25" s="207"/>
      <c r="C25" s="207"/>
      <c r="D25" s="215"/>
      <c r="E25" s="215"/>
      <c r="F25" s="13"/>
    </row>
    <row r="26" spans="1:6" x14ac:dyDescent="0.2">
      <c r="A26" s="12"/>
      <c r="B26" s="207"/>
      <c r="C26" s="207"/>
      <c r="D26" s="215"/>
      <c r="E26" s="215"/>
      <c r="F26" s="13"/>
    </row>
    <row r="27" spans="1:6" x14ac:dyDescent="0.2">
      <c r="A27" s="860" t="s">
        <v>890</v>
      </c>
      <c r="B27" s="861"/>
      <c r="C27" s="861"/>
      <c r="D27" s="862"/>
      <c r="E27" s="14">
        <f>((((1+(E20+E21+E22)/100))*(1+E23/100)*(1+E24/100))/(1-C17/100))-1</f>
        <v>0.22474058685057496</v>
      </c>
      <c r="F27" s="218"/>
    </row>
    <row r="28" spans="1:6" ht="5.25" hidden="1" customHeight="1" x14ac:dyDescent="0.2">
      <c r="A28" s="12"/>
      <c r="B28" s="207"/>
      <c r="C28" s="207"/>
      <c r="D28" s="215"/>
      <c r="E28" s="215"/>
      <c r="F28" s="208"/>
    </row>
    <row r="29" spans="1:6" ht="20.25" hidden="1" x14ac:dyDescent="0.2">
      <c r="A29" s="863" t="s">
        <v>349</v>
      </c>
      <c r="B29" s="863"/>
      <c r="C29" s="863"/>
      <c r="D29" s="863"/>
      <c r="E29" s="863"/>
      <c r="F29" s="863"/>
    </row>
    <row r="30" spans="1:6" hidden="1" x14ac:dyDescent="0.2">
      <c r="A30" s="31" t="str">
        <f>A5</f>
        <v>OBJETO:</v>
      </c>
      <c r="B30" s="864" t="str">
        <f>B5</f>
        <v>CONSTRUÇÃO DE PONTOS DE ÔNIBUS</v>
      </c>
      <c r="C30" s="864"/>
      <c r="D30" s="865"/>
      <c r="E30" s="206"/>
      <c r="F30" s="28"/>
    </row>
    <row r="31" spans="1:6" hidden="1" x14ac:dyDescent="0.2">
      <c r="A31" s="31" t="str">
        <f t="shared" ref="A31:B33" si="0">A6</f>
        <v>Município:</v>
      </c>
      <c r="B31" s="864" t="str">
        <f t="shared" si="0"/>
        <v>RIBAS DO RIO PARDO - MS</v>
      </c>
      <c r="C31" s="864"/>
      <c r="D31" s="865"/>
      <c r="E31" s="866"/>
      <c r="F31" s="787"/>
    </row>
    <row r="32" spans="1:6" ht="12.75" hidden="1" customHeight="1" x14ac:dyDescent="0.2">
      <c r="A32" s="31" t="str">
        <f t="shared" si="0"/>
        <v>Local:</v>
      </c>
      <c r="B32" s="864" t="str">
        <f t="shared" si="0"/>
        <v>RIBAS DO RIO PARDO</v>
      </c>
      <c r="C32" s="864"/>
      <c r="D32" s="865"/>
      <c r="E32" s="867" t="s">
        <v>112</v>
      </c>
      <c r="F32" s="868"/>
    </row>
    <row r="33" spans="1:6" hidden="1" x14ac:dyDescent="0.2">
      <c r="A33" s="31" t="str">
        <f t="shared" si="0"/>
        <v>SIST./REF.:</v>
      </c>
      <c r="B33" s="864" t="str">
        <f t="shared" si="0"/>
        <v>AGESUL(JUNHO/2024) SINAPI (JUNHO/2024 SBC (JUNHO/2024)</v>
      </c>
      <c r="C33" s="864"/>
      <c r="D33" s="865"/>
      <c r="E33" s="869"/>
      <c r="F33" s="870"/>
    </row>
    <row r="34" spans="1:6" hidden="1" x14ac:dyDescent="0.2">
      <c r="A34" s="853"/>
      <c r="B34" s="854"/>
      <c r="C34" s="854"/>
      <c r="D34" s="854"/>
      <c r="E34" s="854"/>
      <c r="F34" s="11"/>
    </row>
    <row r="35" spans="1:6" hidden="1" x14ac:dyDescent="0.2">
      <c r="A35" s="10" t="s">
        <v>24</v>
      </c>
      <c r="B35" s="855" t="s">
        <v>264</v>
      </c>
      <c r="C35" s="856"/>
      <c r="D35" s="856"/>
      <c r="E35" s="856"/>
      <c r="F35" s="857"/>
    </row>
    <row r="36" spans="1:6" hidden="1" x14ac:dyDescent="0.2">
      <c r="A36" s="12"/>
      <c r="B36" s="207"/>
      <c r="C36" s="207"/>
      <c r="D36" s="207"/>
      <c r="E36" s="207"/>
      <c r="F36" s="11"/>
    </row>
    <row r="37" spans="1:6" hidden="1" x14ac:dyDescent="0.2">
      <c r="A37" s="15" t="s">
        <v>25</v>
      </c>
      <c r="B37" s="207"/>
      <c r="C37" s="207"/>
      <c r="D37" s="208"/>
      <c r="E37" s="208"/>
      <c r="F37" s="13"/>
    </row>
    <row r="38" spans="1:6" hidden="1" x14ac:dyDescent="0.2">
      <c r="A38" s="12"/>
      <c r="B38" s="207" t="s">
        <v>26</v>
      </c>
      <c r="C38" s="209">
        <v>3.65</v>
      </c>
      <c r="D38" s="210" t="s">
        <v>0</v>
      </c>
      <c r="E38" s="208"/>
      <c r="F38" s="13"/>
    </row>
    <row r="39" spans="1:6" hidden="1" x14ac:dyDescent="0.2">
      <c r="A39" s="12"/>
      <c r="B39" s="207" t="s">
        <v>27</v>
      </c>
      <c r="C39" s="211">
        <v>0</v>
      </c>
      <c r="D39" s="210" t="s">
        <v>0</v>
      </c>
      <c r="E39" s="208"/>
      <c r="F39" s="13"/>
    </row>
    <row r="40" spans="1:6" hidden="1" x14ac:dyDescent="0.2">
      <c r="A40" s="12"/>
      <c r="B40" s="207" t="s">
        <v>28</v>
      </c>
      <c r="C40" s="16">
        <v>60</v>
      </c>
      <c r="D40" s="210" t="s">
        <v>0</v>
      </c>
      <c r="E40" s="208"/>
      <c r="F40" s="13"/>
    </row>
    <row r="41" spans="1:6" hidden="1" x14ac:dyDescent="0.2">
      <c r="A41" s="12"/>
      <c r="B41" s="207" t="s">
        <v>32</v>
      </c>
      <c r="C41" s="16">
        <v>4.5</v>
      </c>
      <c r="D41" s="210" t="s">
        <v>0</v>
      </c>
      <c r="E41" s="208"/>
      <c r="F41" s="13"/>
    </row>
    <row r="42" spans="1:6" hidden="1" x14ac:dyDescent="0.2">
      <c r="A42" s="12"/>
      <c r="B42" s="212" t="s">
        <v>29</v>
      </c>
      <c r="C42" s="213">
        <f>C38+(C39*C40/100)+C41</f>
        <v>8.15</v>
      </c>
      <c r="D42" s="214" t="s">
        <v>0</v>
      </c>
      <c r="E42" s="215"/>
      <c r="F42" s="13"/>
    </row>
    <row r="43" spans="1:6" hidden="1" x14ac:dyDescent="0.2">
      <c r="A43" s="12"/>
      <c r="B43" s="207"/>
      <c r="C43" s="207"/>
      <c r="D43" s="215"/>
      <c r="E43" s="858" t="s">
        <v>30</v>
      </c>
      <c r="F43" s="13"/>
    </row>
    <row r="44" spans="1:6" hidden="1" x14ac:dyDescent="0.2">
      <c r="A44" s="12"/>
      <c r="B44" s="216" t="s">
        <v>341</v>
      </c>
      <c r="C44" s="216" t="s">
        <v>342</v>
      </c>
      <c r="D44" s="215" t="s">
        <v>343</v>
      </c>
      <c r="E44" s="859"/>
      <c r="F44" s="13"/>
    </row>
    <row r="45" spans="1:6" hidden="1" x14ac:dyDescent="0.2">
      <c r="A45" s="12" t="s">
        <v>344</v>
      </c>
      <c r="B45" s="217">
        <v>1.4999999999999999E-2</v>
      </c>
      <c r="C45" s="217">
        <v>3.4500000000000003E-2</v>
      </c>
      <c r="D45" s="217">
        <v>4.4900000000000002E-2</v>
      </c>
      <c r="E45" s="62">
        <v>1.5</v>
      </c>
      <c r="F45" s="13"/>
    </row>
    <row r="46" spans="1:6" hidden="1" x14ac:dyDescent="0.2">
      <c r="A46" s="12" t="s">
        <v>345</v>
      </c>
      <c r="B46" s="217">
        <v>3.0000000000000001E-3</v>
      </c>
      <c r="C46" s="217">
        <v>4.7999999999999996E-3</v>
      </c>
      <c r="D46" s="217">
        <v>8.2000000000000007E-3</v>
      </c>
      <c r="E46" s="62">
        <v>0.3</v>
      </c>
      <c r="F46" s="13"/>
    </row>
    <row r="47" spans="1:6" hidden="1" x14ac:dyDescent="0.2">
      <c r="A47" s="12" t="s">
        <v>346</v>
      </c>
      <c r="B47" s="217">
        <v>5.5999999999999999E-3</v>
      </c>
      <c r="C47" s="217">
        <v>8.5000000000000006E-3</v>
      </c>
      <c r="D47" s="217">
        <v>8.8999999999999999E-3</v>
      </c>
      <c r="E47" s="62">
        <v>0.85</v>
      </c>
      <c r="F47" s="13"/>
    </row>
    <row r="48" spans="1:6" hidden="1" x14ac:dyDescent="0.2">
      <c r="A48" s="12" t="s">
        <v>347</v>
      </c>
      <c r="B48" s="217">
        <v>8.5000000000000006E-3</v>
      </c>
      <c r="C48" s="217">
        <v>8.5000000000000006E-3</v>
      </c>
      <c r="D48" s="217">
        <v>1.11E-2</v>
      </c>
      <c r="E48" s="62">
        <v>0.85</v>
      </c>
      <c r="F48" s="13"/>
    </row>
    <row r="49" spans="1:6" hidden="1" x14ac:dyDescent="0.2">
      <c r="A49" s="12" t="s">
        <v>348</v>
      </c>
      <c r="B49" s="217">
        <v>3.5000000000000003E-2</v>
      </c>
      <c r="C49" s="217">
        <v>5.11E-2</v>
      </c>
      <c r="D49" s="217">
        <v>6.2199999999999998E-2</v>
      </c>
      <c r="E49" s="62">
        <v>3.5</v>
      </c>
      <c r="F49" s="13"/>
    </row>
    <row r="50" spans="1:6" hidden="1" x14ac:dyDescent="0.2">
      <c r="A50" s="12"/>
      <c r="B50" s="207"/>
      <c r="C50" s="207"/>
      <c r="D50" s="215"/>
      <c r="E50" s="215"/>
      <c r="F50" s="13"/>
    </row>
    <row r="51" spans="1:6" hidden="1" x14ac:dyDescent="0.2">
      <c r="A51" s="12"/>
      <c r="B51" s="207"/>
      <c r="C51" s="207"/>
      <c r="D51" s="215"/>
      <c r="E51" s="215"/>
      <c r="F51" s="13"/>
    </row>
    <row r="52" spans="1:6" hidden="1" x14ac:dyDescent="0.2">
      <c r="A52" s="860" t="s">
        <v>31</v>
      </c>
      <c r="B52" s="861"/>
      <c r="C52" s="861"/>
      <c r="D52" s="862"/>
      <c r="E52" s="14">
        <f>((((1+(E45+E46+E47)/100))*(1+E48/100)*(1+E49/100))/(1-C42/100))-1</f>
        <v>0.1665303579205224</v>
      </c>
      <c r="F52" s="218"/>
    </row>
    <row r="53" spans="1:6" hidden="1" x14ac:dyDescent="0.2"/>
    <row r="58" spans="1:6" ht="11.25" customHeight="1" x14ac:dyDescent="0.2"/>
  </sheetData>
  <mergeCells count="25">
    <mergeCell ref="E18:E19"/>
    <mergeCell ref="B1:F1"/>
    <mergeCell ref="B2:F2"/>
    <mergeCell ref="B3:F3"/>
    <mergeCell ref="A4:F4"/>
    <mergeCell ref="B5:D5"/>
    <mergeCell ref="B6:D6"/>
    <mergeCell ref="E6:F6"/>
    <mergeCell ref="B7:D7"/>
    <mergeCell ref="E7:F8"/>
    <mergeCell ref="B8:D8"/>
    <mergeCell ref="A9:E9"/>
    <mergeCell ref="B10:F10"/>
    <mergeCell ref="A34:E34"/>
    <mergeCell ref="B35:F35"/>
    <mergeCell ref="E43:E44"/>
    <mergeCell ref="A52:D52"/>
    <mergeCell ref="A27:D27"/>
    <mergeCell ref="A29:F29"/>
    <mergeCell ref="B30:D30"/>
    <mergeCell ref="B31:D31"/>
    <mergeCell ref="E31:F31"/>
    <mergeCell ref="B32:D32"/>
    <mergeCell ref="E32:F33"/>
    <mergeCell ref="B33:D33"/>
  </mergeCells>
  <pageMargins left="0.7" right="0.7" top="0.75" bottom="0.75" header="0.3" footer="0.3"/>
  <pageSetup paperSize="9" scale="79" fitToHeight="0" orientation="portrait" r:id="rId1"/>
  <headerFooter differentFirst="1" scaleWithDoc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0.79998168889431442"/>
    <pageSetUpPr fitToPage="1"/>
  </sheetPr>
  <dimension ref="A1:F56"/>
  <sheetViews>
    <sheetView workbookViewId="0"/>
  </sheetViews>
  <sheetFormatPr defaultColWidth="8.85546875" defaultRowHeight="12.75" x14ac:dyDescent="0.2"/>
  <cols>
    <col min="1" max="1" width="21.28515625" style="8" customWidth="1"/>
    <col min="2" max="2" width="21.85546875" style="8" customWidth="1"/>
    <col min="3" max="3" width="18.28515625" style="8" customWidth="1"/>
    <col min="4" max="4" width="23.5703125" style="8" customWidth="1"/>
    <col min="5" max="5" width="16.140625" style="8" customWidth="1"/>
    <col min="6" max="6" width="9.5703125" style="8" customWidth="1"/>
    <col min="7" max="16384" width="8.85546875" style="8"/>
  </cols>
  <sheetData>
    <row r="1" spans="1:6" ht="13.15" customHeight="1" x14ac:dyDescent="0.2">
      <c r="A1" s="17"/>
      <c r="B1" s="871" t="str">
        <f>'ORÇAMENTO_N DES'!D2</f>
        <v>GOVERNO DO ESTADO DE MATO GROSSO DO SUL</v>
      </c>
      <c r="C1" s="872"/>
      <c r="D1" s="872"/>
      <c r="E1" s="872"/>
      <c r="F1" s="873"/>
    </row>
    <row r="2" spans="1:6" ht="13.9" customHeight="1" x14ac:dyDescent="0.2">
      <c r="A2" s="9"/>
      <c r="B2" s="874" t="str">
        <f>'ORÇAMENTO_N DES'!D3</f>
        <v>PREFEITURA MUNICIPAL DE RIBAS DO RIO PARDO</v>
      </c>
      <c r="C2" s="875"/>
      <c r="D2" s="875"/>
      <c r="E2" s="875"/>
      <c r="F2" s="876"/>
    </row>
    <row r="3" spans="1:6" ht="13.15" customHeight="1" x14ac:dyDescent="0.2">
      <c r="A3" s="9"/>
      <c r="B3" s="877" t="str">
        <f>'ORÇAMENTO_N DES'!D4</f>
        <v>SECRETARIA DE OBRAS</v>
      </c>
      <c r="C3" s="878"/>
      <c r="D3" s="878"/>
      <c r="E3" s="878"/>
      <c r="F3" s="879"/>
    </row>
    <row r="4" spans="1:6" ht="20.25" x14ac:dyDescent="0.2">
      <c r="A4" s="863" t="s">
        <v>772</v>
      </c>
      <c r="B4" s="863"/>
      <c r="C4" s="863"/>
      <c r="D4" s="863"/>
      <c r="E4" s="863"/>
      <c r="F4" s="863"/>
    </row>
    <row r="5" spans="1:6" ht="21.75" customHeight="1" x14ac:dyDescent="0.2">
      <c r="A5" s="31" t="s">
        <v>63</v>
      </c>
      <c r="B5" s="880" t="str">
        <f>'ORÇAMENTO_N DES'!C6</f>
        <v>CONSTRUÇÃO DE PONTOS DE ÔNIBUS</v>
      </c>
      <c r="C5" s="598"/>
      <c r="D5" s="881"/>
      <c r="E5" s="137" t="s">
        <v>45</v>
      </c>
      <c r="F5" s="28"/>
    </row>
    <row r="6" spans="1:6" ht="12.6" customHeight="1" x14ac:dyDescent="0.2">
      <c r="A6" s="31" t="s">
        <v>2</v>
      </c>
      <c r="B6" s="882" t="str">
        <f>'ORÇAMENTO_N DES'!C7</f>
        <v>RIBAS DO RIO PARDO - MS</v>
      </c>
      <c r="C6" s="883"/>
      <c r="D6" s="884"/>
      <c r="E6" s="866"/>
      <c r="F6" s="787"/>
    </row>
    <row r="7" spans="1:6" ht="12.6" customHeight="1" x14ac:dyDescent="0.2">
      <c r="A7" s="31" t="s">
        <v>3</v>
      </c>
      <c r="B7" s="882" t="str">
        <f>'ORÇAMENTO_N DES'!C8</f>
        <v>RIBAS DO RIO PARDO</v>
      </c>
      <c r="C7" s="883"/>
      <c r="D7" s="884"/>
      <c r="E7" s="885" t="str">
        <f>'ORÇAMENTO_N DES'!M7</f>
        <v>_________________________________
FÁBIO MARQUES RIBEIRO
CREA - 15.276 D</v>
      </c>
      <c r="F7" s="886"/>
    </row>
    <row r="8" spans="1:6" ht="18" customHeight="1" x14ac:dyDescent="0.2">
      <c r="A8" s="31" t="s">
        <v>66</v>
      </c>
      <c r="B8" s="889" t="str">
        <f>'ORÇAMENTO_N DES'!C11</f>
        <v>AGESUL(JUNHO/2024) SINAPI (JUNHO/2024 SBC (JUNHO/2024)</v>
      </c>
      <c r="C8" s="889"/>
      <c r="D8" s="890"/>
      <c r="E8" s="887"/>
      <c r="F8" s="888"/>
    </row>
    <row r="9" spans="1:6" ht="4.1500000000000004" customHeight="1" x14ac:dyDescent="0.2">
      <c r="A9" s="853"/>
      <c r="B9" s="854"/>
      <c r="C9" s="854"/>
      <c r="D9" s="854"/>
      <c r="E9" s="854"/>
      <c r="F9" s="11"/>
    </row>
    <row r="10" spans="1:6" ht="24" customHeight="1" x14ac:dyDescent="0.2">
      <c r="A10" s="10" t="s">
        <v>24</v>
      </c>
      <c r="B10" s="855" t="s">
        <v>340</v>
      </c>
      <c r="C10" s="856"/>
      <c r="D10" s="856"/>
      <c r="E10" s="856"/>
      <c r="F10" s="857"/>
    </row>
    <row r="11" spans="1:6" x14ac:dyDescent="0.2">
      <c r="A11" s="12"/>
      <c r="B11" s="207"/>
      <c r="C11" s="207"/>
      <c r="D11" s="207"/>
      <c r="E11" s="207"/>
      <c r="F11" s="11"/>
    </row>
    <row r="12" spans="1:6" x14ac:dyDescent="0.2">
      <c r="A12" s="15" t="s">
        <v>25</v>
      </c>
      <c r="B12" s="207"/>
      <c r="C12" s="207"/>
      <c r="D12" s="208"/>
      <c r="E12" s="208"/>
      <c r="F12" s="13"/>
    </row>
    <row r="13" spans="1:6" x14ac:dyDescent="0.2">
      <c r="A13" s="12"/>
      <c r="B13" s="207" t="s">
        <v>26</v>
      </c>
      <c r="C13" s="209">
        <v>3.65</v>
      </c>
      <c r="D13" s="210" t="s">
        <v>0</v>
      </c>
      <c r="E13" s="208"/>
      <c r="F13" s="13"/>
    </row>
    <row r="14" spans="1:6" x14ac:dyDescent="0.2">
      <c r="A14" s="12"/>
      <c r="B14" s="207" t="s">
        <v>27</v>
      </c>
      <c r="C14" s="211">
        <v>5</v>
      </c>
      <c r="D14" s="210" t="s">
        <v>0</v>
      </c>
      <c r="E14" s="208"/>
      <c r="F14" s="13"/>
    </row>
    <row r="15" spans="1:6" x14ac:dyDescent="0.2">
      <c r="A15" s="12"/>
      <c r="B15" s="207" t="s">
        <v>28</v>
      </c>
      <c r="C15" s="16">
        <v>100</v>
      </c>
      <c r="D15" s="210" t="s">
        <v>0</v>
      </c>
      <c r="E15" s="208"/>
      <c r="F15" s="13"/>
    </row>
    <row r="16" spans="1:6" x14ac:dyDescent="0.2">
      <c r="A16" s="12"/>
      <c r="B16" s="212" t="s">
        <v>29</v>
      </c>
      <c r="C16" s="213">
        <f>C13+(C14*C15/100)</f>
        <v>8.65</v>
      </c>
      <c r="D16" s="214" t="s">
        <v>0</v>
      </c>
      <c r="E16" s="215"/>
      <c r="F16" s="13"/>
    </row>
    <row r="17" spans="1:6" x14ac:dyDescent="0.2">
      <c r="A17" s="12"/>
      <c r="B17" s="207"/>
      <c r="C17" s="207"/>
      <c r="D17" s="215"/>
      <c r="E17" s="858" t="s">
        <v>30</v>
      </c>
      <c r="F17" s="13"/>
    </row>
    <row r="18" spans="1:6" x14ac:dyDescent="0.2">
      <c r="A18" s="12"/>
      <c r="B18" s="216" t="s">
        <v>341</v>
      </c>
      <c r="C18" s="216" t="s">
        <v>342</v>
      </c>
      <c r="D18" s="215" t="s">
        <v>343</v>
      </c>
      <c r="E18" s="859"/>
      <c r="F18" s="13"/>
    </row>
    <row r="19" spans="1:6" x14ac:dyDescent="0.2">
      <c r="A19" s="12" t="s">
        <v>344</v>
      </c>
      <c r="B19" s="217">
        <v>0.03</v>
      </c>
      <c r="C19" s="217">
        <v>0.04</v>
      </c>
      <c r="D19" s="217">
        <v>5.5E-2</v>
      </c>
      <c r="E19" s="62">
        <v>3</v>
      </c>
      <c r="F19" s="13"/>
    </row>
    <row r="20" spans="1:6" x14ac:dyDescent="0.2">
      <c r="A20" s="12" t="s">
        <v>345</v>
      </c>
      <c r="B20" s="217">
        <v>8.0000000000000002E-3</v>
      </c>
      <c r="C20" s="217">
        <v>8.0000000000000002E-3</v>
      </c>
      <c r="D20" s="217">
        <v>0.01</v>
      </c>
      <c r="E20" s="62">
        <v>0.8</v>
      </c>
      <c r="F20" s="13"/>
    </row>
    <row r="21" spans="1:6" x14ac:dyDescent="0.2">
      <c r="A21" s="12" t="s">
        <v>346</v>
      </c>
      <c r="B21" s="217">
        <v>9.7000000000000003E-3</v>
      </c>
      <c r="C21" s="217">
        <v>1.2699999999999999E-2</v>
      </c>
      <c r="D21" s="217">
        <v>1.2699999999999999E-2</v>
      </c>
      <c r="E21" s="62">
        <v>0.97</v>
      </c>
      <c r="F21" s="13"/>
    </row>
    <row r="22" spans="1:6" x14ac:dyDescent="0.2">
      <c r="A22" s="12" t="s">
        <v>347</v>
      </c>
      <c r="B22" s="217">
        <v>5.8999999999999999E-3</v>
      </c>
      <c r="C22" s="217">
        <v>1.23E-2</v>
      </c>
      <c r="D22" s="217">
        <v>1.3899999999999999E-2</v>
      </c>
      <c r="E22" s="62">
        <v>0.59</v>
      </c>
      <c r="F22" s="13"/>
    </row>
    <row r="23" spans="1:6" x14ac:dyDescent="0.2">
      <c r="A23" s="12" t="s">
        <v>348</v>
      </c>
      <c r="B23" s="217">
        <v>6.1600000000000002E-2</v>
      </c>
      <c r="C23" s="217">
        <v>7.3999999999999996E-2</v>
      </c>
      <c r="D23" s="217">
        <v>8.9599999999999999E-2</v>
      </c>
      <c r="E23" s="62">
        <v>6.16</v>
      </c>
      <c r="F23" s="13"/>
    </row>
    <row r="24" spans="1:6" x14ac:dyDescent="0.2">
      <c r="A24" s="12"/>
      <c r="B24" s="207"/>
      <c r="C24" s="207"/>
      <c r="D24" s="215"/>
      <c r="E24" s="215"/>
      <c r="F24" s="13"/>
    </row>
    <row r="25" spans="1:6" x14ac:dyDescent="0.2">
      <c r="A25" s="12"/>
      <c r="B25" s="207"/>
      <c r="C25" s="207"/>
      <c r="D25" s="215"/>
      <c r="E25" s="215"/>
      <c r="F25" s="13"/>
    </row>
    <row r="26" spans="1:6" x14ac:dyDescent="0.2">
      <c r="A26" s="860" t="s">
        <v>31</v>
      </c>
      <c r="B26" s="861"/>
      <c r="C26" s="861"/>
      <c r="D26" s="862"/>
      <c r="E26" s="14">
        <f>((((1+(E19+E20+E21)/100))*(1+E22/100)*(1+E23/100))/(1-C16/100))-1</f>
        <v>0.22474058685057496</v>
      </c>
      <c r="F26" s="218"/>
    </row>
    <row r="27" spans="1:6" ht="5.45" hidden="1" customHeight="1" x14ac:dyDescent="0.2">
      <c r="A27" s="12"/>
      <c r="B27" s="207"/>
      <c r="C27" s="207"/>
      <c r="D27" s="215"/>
      <c r="E27" s="215"/>
      <c r="F27" s="208"/>
    </row>
    <row r="28" spans="1:6" ht="20.25" hidden="1" x14ac:dyDescent="0.2">
      <c r="A28" s="863" t="s">
        <v>349</v>
      </c>
      <c r="B28" s="863"/>
      <c r="C28" s="863"/>
      <c r="D28" s="863"/>
      <c r="E28" s="863"/>
      <c r="F28" s="863"/>
    </row>
    <row r="29" spans="1:6" hidden="1" x14ac:dyDescent="0.2">
      <c r="A29" s="31" t="str">
        <f>A5</f>
        <v>OBJETO:</v>
      </c>
      <c r="B29" s="864" t="str">
        <f>B5</f>
        <v>CONSTRUÇÃO DE PONTOS DE ÔNIBUS</v>
      </c>
      <c r="C29" s="864"/>
      <c r="D29" s="865"/>
      <c r="E29" s="137" t="s">
        <v>45</v>
      </c>
      <c r="F29" s="28"/>
    </row>
    <row r="30" spans="1:6" hidden="1" x14ac:dyDescent="0.2">
      <c r="A30" s="31" t="str">
        <f t="shared" ref="A30:B32" si="0">A6</f>
        <v>Município:</v>
      </c>
      <c r="B30" s="864" t="str">
        <f t="shared" si="0"/>
        <v>RIBAS DO RIO PARDO - MS</v>
      </c>
      <c r="C30" s="864"/>
      <c r="D30" s="865"/>
      <c r="E30" s="866"/>
      <c r="F30" s="787"/>
    </row>
    <row r="31" spans="1:6" ht="12.75" hidden="1" customHeight="1" x14ac:dyDescent="0.2">
      <c r="A31" s="31" t="str">
        <f t="shared" si="0"/>
        <v>Local:</v>
      </c>
      <c r="B31" s="864" t="str">
        <f t="shared" si="0"/>
        <v>RIBAS DO RIO PARDO</v>
      </c>
      <c r="C31" s="864"/>
      <c r="D31" s="865"/>
      <c r="E31" s="885" t="s">
        <v>656</v>
      </c>
      <c r="F31" s="886"/>
    </row>
    <row r="32" spans="1:6" ht="18" hidden="1" customHeight="1" x14ac:dyDescent="0.2">
      <c r="A32" s="31" t="str">
        <f t="shared" si="0"/>
        <v>SIST./REF.:</v>
      </c>
      <c r="B32" s="864" t="str">
        <f t="shared" si="0"/>
        <v>AGESUL(JUNHO/2024) SINAPI (JUNHO/2024 SBC (JUNHO/2024)</v>
      </c>
      <c r="C32" s="864"/>
      <c r="D32" s="865"/>
      <c r="E32" s="887"/>
      <c r="F32" s="888"/>
    </row>
    <row r="33" spans="1:6" hidden="1" x14ac:dyDescent="0.2">
      <c r="A33" s="853"/>
      <c r="B33" s="854"/>
      <c r="C33" s="854"/>
      <c r="D33" s="854"/>
      <c r="E33" s="854"/>
      <c r="F33" s="11"/>
    </row>
    <row r="34" spans="1:6" hidden="1" x14ac:dyDescent="0.2">
      <c r="A34" s="10" t="s">
        <v>24</v>
      </c>
      <c r="B34" s="855" t="s">
        <v>264</v>
      </c>
      <c r="C34" s="856"/>
      <c r="D34" s="856"/>
      <c r="E34" s="856"/>
      <c r="F34" s="857"/>
    </row>
    <row r="35" spans="1:6" hidden="1" x14ac:dyDescent="0.2">
      <c r="A35" s="12"/>
      <c r="B35" s="207"/>
      <c r="C35" s="207"/>
      <c r="D35" s="207"/>
      <c r="E35" s="207"/>
      <c r="F35" s="11"/>
    </row>
    <row r="36" spans="1:6" hidden="1" x14ac:dyDescent="0.2">
      <c r="A36" s="15" t="s">
        <v>25</v>
      </c>
      <c r="B36" s="207"/>
      <c r="C36" s="207"/>
      <c r="D36" s="208"/>
      <c r="E36" s="208"/>
      <c r="F36" s="13"/>
    </row>
    <row r="37" spans="1:6" hidden="1" x14ac:dyDescent="0.2">
      <c r="A37" s="12"/>
      <c r="B37" s="207" t="s">
        <v>26</v>
      </c>
      <c r="C37" s="209">
        <v>3.65</v>
      </c>
      <c r="D37" s="210" t="s">
        <v>0</v>
      </c>
      <c r="E37" s="208"/>
      <c r="F37" s="13"/>
    </row>
    <row r="38" spans="1:6" hidden="1" x14ac:dyDescent="0.2">
      <c r="A38" s="12"/>
      <c r="B38" s="207" t="s">
        <v>27</v>
      </c>
      <c r="C38" s="211">
        <v>0</v>
      </c>
      <c r="D38" s="210" t="s">
        <v>0</v>
      </c>
      <c r="E38" s="208"/>
      <c r="F38" s="13"/>
    </row>
    <row r="39" spans="1:6" hidden="1" x14ac:dyDescent="0.2">
      <c r="A39" s="12"/>
      <c r="B39" s="207" t="s">
        <v>28</v>
      </c>
      <c r="C39" s="16">
        <v>100</v>
      </c>
      <c r="D39" s="210" t="s">
        <v>0</v>
      </c>
      <c r="E39" s="208"/>
      <c r="F39" s="13"/>
    </row>
    <row r="40" spans="1:6" hidden="1" x14ac:dyDescent="0.2">
      <c r="A40" s="12"/>
      <c r="B40" s="212" t="s">
        <v>29</v>
      </c>
      <c r="C40" s="213">
        <f>C37+(C38*C39/100)</f>
        <v>3.65</v>
      </c>
      <c r="D40" s="214" t="s">
        <v>0</v>
      </c>
      <c r="E40" s="215"/>
      <c r="F40" s="13"/>
    </row>
    <row r="41" spans="1:6" hidden="1" x14ac:dyDescent="0.2">
      <c r="A41" s="12"/>
      <c r="B41" s="207"/>
      <c r="C41" s="207"/>
      <c r="D41" s="215"/>
      <c r="E41" s="858" t="s">
        <v>30</v>
      </c>
      <c r="F41" s="13"/>
    </row>
    <row r="42" spans="1:6" hidden="1" x14ac:dyDescent="0.2">
      <c r="A42" s="12"/>
      <c r="B42" s="216" t="s">
        <v>341</v>
      </c>
      <c r="C42" s="216" t="s">
        <v>342</v>
      </c>
      <c r="D42" s="215" t="s">
        <v>343</v>
      </c>
      <c r="E42" s="859"/>
      <c r="F42" s="13"/>
    </row>
    <row r="43" spans="1:6" hidden="1" x14ac:dyDescent="0.2">
      <c r="A43" s="12" t="s">
        <v>344</v>
      </c>
      <c r="B43" s="217">
        <v>1.4999999999999999E-2</v>
      </c>
      <c r="C43" s="217">
        <v>3.4500000000000003E-2</v>
      </c>
      <c r="D43" s="217">
        <v>4.4900000000000002E-2</v>
      </c>
      <c r="E43" s="62">
        <v>3.45</v>
      </c>
      <c r="F43" s="13"/>
    </row>
    <row r="44" spans="1:6" hidden="1" x14ac:dyDescent="0.2">
      <c r="A44" s="12" t="s">
        <v>345</v>
      </c>
      <c r="B44" s="217">
        <v>3.0000000000000001E-3</v>
      </c>
      <c r="C44" s="217">
        <v>4.7999999999999996E-3</v>
      </c>
      <c r="D44" s="217">
        <v>8.2000000000000007E-3</v>
      </c>
      <c r="E44" s="62">
        <v>0.48</v>
      </c>
      <c r="F44" s="13"/>
    </row>
    <row r="45" spans="1:6" hidden="1" x14ac:dyDescent="0.2">
      <c r="A45" s="12" t="s">
        <v>346</v>
      </c>
      <c r="B45" s="217">
        <v>5.5999999999999999E-3</v>
      </c>
      <c r="C45" s="217">
        <v>8.5000000000000006E-3</v>
      </c>
      <c r="D45" s="217">
        <v>8.8999999999999999E-3</v>
      </c>
      <c r="E45" s="62">
        <v>0.85</v>
      </c>
      <c r="F45" s="13"/>
    </row>
    <row r="46" spans="1:6" hidden="1" x14ac:dyDescent="0.2">
      <c r="A46" s="12" t="s">
        <v>347</v>
      </c>
      <c r="B46" s="217">
        <v>8.5000000000000006E-3</v>
      </c>
      <c r="C46" s="217">
        <v>8.5000000000000006E-3</v>
      </c>
      <c r="D46" s="217">
        <v>1.11E-2</v>
      </c>
      <c r="E46" s="62">
        <v>0.85</v>
      </c>
      <c r="F46" s="13"/>
    </row>
    <row r="47" spans="1:6" hidden="1" x14ac:dyDescent="0.2">
      <c r="A47" s="12" t="s">
        <v>348</v>
      </c>
      <c r="B47" s="217">
        <v>3.5000000000000003E-2</v>
      </c>
      <c r="C47" s="217">
        <v>5.11E-2</v>
      </c>
      <c r="D47" s="217">
        <v>6.2199999999999998E-2</v>
      </c>
      <c r="E47" s="62">
        <v>5.1100000000000003</v>
      </c>
      <c r="F47" s="13"/>
    </row>
    <row r="48" spans="1:6" hidden="1" x14ac:dyDescent="0.2">
      <c r="A48" s="12"/>
      <c r="B48" s="207"/>
      <c r="C48" s="207"/>
      <c r="D48" s="215"/>
      <c r="E48" s="215"/>
      <c r="F48" s="13"/>
    </row>
    <row r="49" spans="1:6" hidden="1" x14ac:dyDescent="0.2">
      <c r="A49" s="12"/>
      <c r="B49" s="207"/>
      <c r="C49" s="207"/>
      <c r="D49" s="215"/>
      <c r="E49" s="215"/>
      <c r="F49" s="13"/>
    </row>
    <row r="50" spans="1:6" hidden="1" x14ac:dyDescent="0.2">
      <c r="A50" s="860" t="s">
        <v>31</v>
      </c>
      <c r="B50" s="861"/>
      <c r="C50" s="861"/>
      <c r="D50" s="862"/>
      <c r="E50" s="14">
        <f>((((1+(E43+E44+E45)/100))*(1+E46/100)*(1+E47/100))/(1-C40/100))-1</f>
        <v>0.15278047942916428</v>
      </c>
      <c r="F50" s="218"/>
    </row>
    <row r="56" spans="1:6" ht="12" customHeight="1" x14ac:dyDescent="0.2"/>
  </sheetData>
  <mergeCells count="25">
    <mergeCell ref="E17:E18"/>
    <mergeCell ref="B1:F1"/>
    <mergeCell ref="B2:F2"/>
    <mergeCell ref="B3:F3"/>
    <mergeCell ref="A4:F4"/>
    <mergeCell ref="B5:D5"/>
    <mergeCell ref="B6:D6"/>
    <mergeCell ref="E6:F6"/>
    <mergeCell ref="B7:D7"/>
    <mergeCell ref="E7:F8"/>
    <mergeCell ref="B8:D8"/>
    <mergeCell ref="A9:E9"/>
    <mergeCell ref="B10:F10"/>
    <mergeCell ref="A33:E33"/>
    <mergeCell ref="B34:F34"/>
    <mergeCell ref="E41:E42"/>
    <mergeCell ref="A50:D50"/>
    <mergeCell ref="A26:D26"/>
    <mergeCell ref="A28:F28"/>
    <mergeCell ref="B29:D29"/>
    <mergeCell ref="B30:D30"/>
    <mergeCell ref="E30:F30"/>
    <mergeCell ref="B31:D31"/>
    <mergeCell ref="E31:F32"/>
    <mergeCell ref="B32:D32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3:H36"/>
  <sheetViews>
    <sheetView workbookViewId="0"/>
  </sheetViews>
  <sheetFormatPr defaultColWidth="9.140625" defaultRowHeight="12.75" x14ac:dyDescent="0.2"/>
  <cols>
    <col min="1" max="1" width="57.85546875" style="46" customWidth="1"/>
    <col min="2" max="7" width="9.140625" style="46"/>
    <col min="8" max="8" width="45.42578125" style="46" customWidth="1"/>
    <col min="9" max="16384" width="9.140625" style="46"/>
  </cols>
  <sheetData>
    <row r="3" spans="1:8" x14ac:dyDescent="0.2">
      <c r="A3" s="45" t="s">
        <v>87</v>
      </c>
      <c r="B3" s="46" t="s">
        <v>88</v>
      </c>
      <c r="H3" s="45" t="s">
        <v>102</v>
      </c>
    </row>
    <row r="4" spans="1:8" x14ac:dyDescent="0.2">
      <c r="A4" s="45" t="s">
        <v>89</v>
      </c>
      <c r="B4" s="46" t="s">
        <v>322</v>
      </c>
      <c r="H4" s="45" t="s">
        <v>103</v>
      </c>
    </row>
    <row r="5" spans="1:8" x14ac:dyDescent="0.2">
      <c r="A5" s="45" t="s">
        <v>90</v>
      </c>
      <c r="B5" s="46" t="s">
        <v>91</v>
      </c>
      <c r="H5" s="45" t="s">
        <v>104</v>
      </c>
    </row>
    <row r="6" spans="1:8" x14ac:dyDescent="0.2">
      <c r="A6" s="45" t="s">
        <v>92</v>
      </c>
      <c r="B6" s="46" t="s">
        <v>93</v>
      </c>
      <c r="H6" s="45" t="s">
        <v>105</v>
      </c>
    </row>
    <row r="7" spans="1:8" x14ac:dyDescent="0.2">
      <c r="A7" s="45" t="s">
        <v>72</v>
      </c>
      <c r="B7" s="46" t="s">
        <v>321</v>
      </c>
      <c r="H7" s="45" t="s">
        <v>106</v>
      </c>
    </row>
    <row r="8" spans="1:8" x14ac:dyDescent="0.2">
      <c r="A8" s="45" t="s">
        <v>94</v>
      </c>
      <c r="B8" s="46" t="s">
        <v>131</v>
      </c>
      <c r="H8" s="45" t="s">
        <v>107</v>
      </c>
    </row>
    <row r="9" spans="1:8" x14ac:dyDescent="0.2">
      <c r="A9" s="45" t="s">
        <v>99</v>
      </c>
      <c r="B9" s="46" t="s">
        <v>110</v>
      </c>
      <c r="H9" s="45" t="s">
        <v>101</v>
      </c>
    </row>
    <row r="10" spans="1:8" x14ac:dyDescent="0.2">
      <c r="A10" s="45" t="s">
        <v>323</v>
      </c>
      <c r="B10" s="46" t="s">
        <v>329</v>
      </c>
      <c r="H10" s="46" t="s">
        <v>334</v>
      </c>
    </row>
    <row r="11" spans="1:8" x14ac:dyDescent="0.2">
      <c r="A11" s="45" t="s">
        <v>324</v>
      </c>
      <c r="B11" s="46" t="s">
        <v>330</v>
      </c>
      <c r="H11" s="46" t="s">
        <v>335</v>
      </c>
    </row>
    <row r="12" spans="1:8" x14ac:dyDescent="0.2">
      <c r="A12" s="45" t="s">
        <v>325</v>
      </c>
      <c r="H12" s="46" t="s">
        <v>336</v>
      </c>
    </row>
    <row r="13" spans="1:8" x14ac:dyDescent="0.2">
      <c r="A13" s="45" t="s">
        <v>326</v>
      </c>
      <c r="B13" s="46" t="s">
        <v>331</v>
      </c>
      <c r="H13" s="46" t="s">
        <v>337</v>
      </c>
    </row>
    <row r="14" spans="1:8" x14ac:dyDescent="0.2">
      <c r="A14" s="45" t="s">
        <v>327</v>
      </c>
      <c r="B14" s="46" t="s">
        <v>332</v>
      </c>
      <c r="H14" s="46" t="s">
        <v>338</v>
      </c>
    </row>
    <row r="15" spans="1:8" x14ac:dyDescent="0.2">
      <c r="A15" s="45" t="s">
        <v>328</v>
      </c>
      <c r="B15" s="46" t="s">
        <v>333</v>
      </c>
      <c r="H15" s="46" t="s">
        <v>339</v>
      </c>
    </row>
    <row r="16" spans="1:8" x14ac:dyDescent="0.2">
      <c r="A16" s="45" t="s">
        <v>776</v>
      </c>
      <c r="H16" s="46" t="s">
        <v>777</v>
      </c>
    </row>
    <row r="17" spans="1:8" x14ac:dyDescent="0.2">
      <c r="A17" s="45" t="s">
        <v>808</v>
      </c>
      <c r="H17" s="46" t="s">
        <v>809</v>
      </c>
    </row>
    <row r="18" spans="1:8" x14ac:dyDescent="0.2">
      <c r="A18" s="45" t="s">
        <v>810</v>
      </c>
      <c r="H18" s="46" t="s">
        <v>811</v>
      </c>
    </row>
    <row r="19" spans="1:8" x14ac:dyDescent="0.2">
      <c r="A19" s="45" t="s">
        <v>812</v>
      </c>
      <c r="H19" s="46" t="s">
        <v>813</v>
      </c>
    </row>
    <row r="20" spans="1:8" x14ac:dyDescent="0.2">
      <c r="A20" s="46" t="s">
        <v>773</v>
      </c>
      <c r="B20" s="46" t="s">
        <v>775</v>
      </c>
      <c r="H20" s="46" t="s">
        <v>774</v>
      </c>
    </row>
    <row r="22" spans="1:8" x14ac:dyDescent="0.2">
      <c r="A22" s="47" t="s">
        <v>54</v>
      </c>
    </row>
    <row r="23" spans="1:8" x14ac:dyDescent="0.2">
      <c r="A23" s="47" t="s">
        <v>55</v>
      </c>
    </row>
    <row r="24" spans="1:8" x14ac:dyDescent="0.2">
      <c r="A24" s="47" t="s">
        <v>95</v>
      </c>
    </row>
    <row r="25" spans="1:8" x14ac:dyDescent="0.2">
      <c r="A25" s="47" t="s">
        <v>96</v>
      </c>
    </row>
    <row r="26" spans="1:8" x14ac:dyDescent="0.2">
      <c r="A26" s="47" t="s">
        <v>97</v>
      </c>
    </row>
    <row r="27" spans="1:8" x14ac:dyDescent="0.2">
      <c r="A27" s="47" t="s">
        <v>56</v>
      </c>
    </row>
    <row r="28" spans="1:8" x14ac:dyDescent="0.2">
      <c r="A28" s="47" t="s">
        <v>98</v>
      </c>
    </row>
    <row r="30" spans="1:8" x14ac:dyDescent="0.2">
      <c r="A30" s="45"/>
    </row>
    <row r="31" spans="1:8" x14ac:dyDescent="0.2">
      <c r="A31" s="45"/>
    </row>
    <row r="32" spans="1:8" x14ac:dyDescent="0.2">
      <c r="A32" s="45"/>
    </row>
    <row r="33" spans="1:1" x14ac:dyDescent="0.2">
      <c r="A33" s="45"/>
    </row>
    <row r="34" spans="1:1" x14ac:dyDescent="0.2">
      <c r="A34" s="45"/>
    </row>
    <row r="35" spans="1:1" x14ac:dyDescent="0.2">
      <c r="A35" s="45"/>
    </row>
    <row r="36" spans="1:1" x14ac:dyDescent="0.2">
      <c r="A36" s="45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4" tint="0.79998168889431442"/>
  </sheetPr>
  <dimension ref="A1:H32"/>
  <sheetViews>
    <sheetView workbookViewId="0">
      <selection activeCell="D14" sqref="D14"/>
    </sheetView>
  </sheetViews>
  <sheetFormatPr defaultColWidth="0" defaultRowHeight="12.75" customHeight="1" zeroHeight="1" x14ac:dyDescent="0.2"/>
  <cols>
    <col min="1" max="2" width="9.140625" style="40" customWidth="1"/>
    <col min="3" max="3" width="55.7109375" style="40" customWidth="1"/>
    <col min="4" max="4" width="54.7109375" style="40" customWidth="1"/>
    <col min="5" max="8" width="9.140625" style="40" hidden="1" customWidth="1"/>
    <col min="9" max="9" width="0" style="40" hidden="1" customWidth="1"/>
    <col min="10" max="16384" width="0" style="40" hidden="1"/>
  </cols>
  <sheetData>
    <row r="1" spans="1:4" ht="12.75" customHeight="1" x14ac:dyDescent="0.2">
      <c r="A1" s="44"/>
      <c r="B1" s="44"/>
      <c r="C1" s="44"/>
      <c r="D1" s="44"/>
    </row>
    <row r="2" spans="1:4" x14ac:dyDescent="0.2">
      <c r="A2" s="44"/>
      <c r="B2" s="44"/>
      <c r="C2" s="44"/>
      <c r="D2" s="44"/>
    </row>
    <row r="3" spans="1:4" x14ac:dyDescent="0.2">
      <c r="A3" s="44"/>
      <c r="B3" s="44"/>
      <c r="C3" s="44"/>
      <c r="D3" s="44"/>
    </row>
    <row r="4" spans="1:4" x14ac:dyDescent="0.2">
      <c r="A4" s="44"/>
      <c r="B4" s="44"/>
      <c r="C4" s="44"/>
      <c r="D4" s="44"/>
    </row>
    <row r="5" spans="1:4" x14ac:dyDescent="0.2">
      <c r="A5" s="44"/>
      <c r="B5" s="44"/>
      <c r="C5" s="44"/>
      <c r="D5" s="44"/>
    </row>
    <row r="6" spans="1:4" ht="13.5" thickBot="1" x14ac:dyDescent="0.25">
      <c r="A6" s="44"/>
      <c r="B6" s="44"/>
      <c r="C6" s="44"/>
      <c r="D6" s="44"/>
    </row>
    <row r="7" spans="1:4" ht="16.5" thickBot="1" x14ac:dyDescent="0.25">
      <c r="A7" s="44"/>
      <c r="B7" s="44"/>
      <c r="C7" s="560" t="s">
        <v>70</v>
      </c>
      <c r="D7" s="561"/>
    </row>
    <row r="8" spans="1:4" x14ac:dyDescent="0.2">
      <c r="A8" s="44"/>
      <c r="B8" s="44"/>
      <c r="C8" s="49" t="s">
        <v>71</v>
      </c>
      <c r="D8" s="50" t="s">
        <v>327</v>
      </c>
    </row>
    <row r="9" spans="1:4" x14ac:dyDescent="0.2">
      <c r="A9" s="44"/>
      <c r="B9" s="44"/>
      <c r="C9" s="51" t="s">
        <v>65</v>
      </c>
      <c r="D9" s="359" t="s">
        <v>832</v>
      </c>
    </row>
    <row r="10" spans="1:4" ht="12.75" customHeight="1" thickBot="1" x14ac:dyDescent="0.25">
      <c r="A10" s="44"/>
      <c r="B10" s="44"/>
      <c r="C10" s="53" t="s">
        <v>100</v>
      </c>
      <c r="D10" s="390" t="str">
        <f>VLOOKUP(D8,REFERENCIA!A:K,8,0)</f>
        <v>RIBAS DO RIO PARDO - MS</v>
      </c>
    </row>
    <row r="11" spans="1:4" ht="14.25" thickBot="1" x14ac:dyDescent="0.25">
      <c r="A11" s="44"/>
      <c r="B11" s="44"/>
      <c r="C11" s="360"/>
      <c r="D11" s="361"/>
    </row>
    <row r="12" spans="1:4" ht="14.25" thickBot="1" x14ac:dyDescent="0.25">
      <c r="A12" s="44"/>
      <c r="B12" s="44"/>
      <c r="C12" s="562" t="s">
        <v>73</v>
      </c>
      <c r="D12" s="563"/>
    </row>
    <row r="13" spans="1:4" x14ac:dyDescent="0.2">
      <c r="A13" s="44"/>
      <c r="B13" s="44"/>
      <c r="C13" s="49" t="s">
        <v>74</v>
      </c>
      <c r="D13" s="50" t="s">
        <v>889</v>
      </c>
    </row>
    <row r="14" spans="1:4" x14ac:dyDescent="0.2">
      <c r="A14" s="44"/>
      <c r="B14" s="44"/>
      <c r="C14" s="51" t="s">
        <v>75</v>
      </c>
      <c r="D14" s="65" t="s">
        <v>880</v>
      </c>
    </row>
    <row r="15" spans="1:4" x14ac:dyDescent="0.2">
      <c r="A15" s="44"/>
      <c r="B15" s="44"/>
      <c r="C15" s="51" t="s">
        <v>76</v>
      </c>
      <c r="D15" s="553">
        <v>0.22474058685057496</v>
      </c>
    </row>
    <row r="16" spans="1:4" x14ac:dyDescent="0.2">
      <c r="A16" s="44"/>
      <c r="B16" s="44"/>
      <c r="C16" s="54" t="s">
        <v>316</v>
      </c>
      <c r="D16" s="52" t="s">
        <v>893</v>
      </c>
    </row>
    <row r="17" spans="1:4" x14ac:dyDescent="0.2">
      <c r="A17" s="44"/>
      <c r="B17" s="44"/>
      <c r="C17" s="54" t="s">
        <v>109</v>
      </c>
      <c r="D17" s="52" t="s">
        <v>894</v>
      </c>
    </row>
    <row r="18" spans="1:4" ht="13.5" thickBot="1" x14ac:dyDescent="0.25">
      <c r="A18" s="44"/>
      <c r="B18" s="44"/>
      <c r="C18" s="53" t="s">
        <v>108</v>
      </c>
      <c r="D18" s="52" t="s">
        <v>893</v>
      </c>
    </row>
    <row r="19" spans="1:4" ht="14.25" thickBot="1" x14ac:dyDescent="0.25">
      <c r="A19" s="44"/>
      <c r="B19" s="44"/>
      <c r="C19" s="360"/>
      <c r="D19" s="362"/>
    </row>
    <row r="20" spans="1:4" ht="14.25" thickBot="1" x14ac:dyDescent="0.25">
      <c r="A20" s="44"/>
      <c r="B20" s="44"/>
      <c r="C20" s="562" t="s">
        <v>77</v>
      </c>
      <c r="D20" s="563"/>
    </row>
    <row r="21" spans="1:4" x14ac:dyDescent="0.2">
      <c r="A21" s="44"/>
      <c r="B21" s="44"/>
      <c r="C21" s="55" t="s">
        <v>78</v>
      </c>
      <c r="D21" s="56" t="s">
        <v>79</v>
      </c>
    </row>
    <row r="22" spans="1:4" x14ac:dyDescent="0.2">
      <c r="A22" s="44"/>
      <c r="B22" s="44"/>
      <c r="C22" s="51" t="s">
        <v>80</v>
      </c>
      <c r="D22" s="57" t="s">
        <v>81</v>
      </c>
    </row>
    <row r="23" spans="1:4" x14ac:dyDescent="0.2">
      <c r="A23" s="44"/>
      <c r="B23" s="44"/>
      <c r="C23" s="51" t="s">
        <v>69</v>
      </c>
      <c r="D23" s="52" t="s">
        <v>82</v>
      </c>
    </row>
    <row r="24" spans="1:4" ht="13.5" thickBot="1" x14ac:dyDescent="0.25">
      <c r="A24" s="44"/>
      <c r="B24" s="44"/>
      <c r="C24" s="53" t="s">
        <v>83</v>
      </c>
      <c r="D24" s="58">
        <f ca="1">TODAY()</f>
        <v>45562</v>
      </c>
    </row>
    <row r="25" spans="1:4" ht="14.25" thickBot="1" x14ac:dyDescent="0.25">
      <c r="A25" s="44"/>
      <c r="B25" s="44"/>
      <c r="C25" s="360"/>
      <c r="D25" s="363"/>
    </row>
    <row r="26" spans="1:4" ht="14.25" thickBot="1" x14ac:dyDescent="0.25">
      <c r="A26" s="44"/>
      <c r="B26" s="44"/>
      <c r="C26" s="562" t="s">
        <v>84</v>
      </c>
      <c r="D26" s="563"/>
    </row>
    <row r="27" spans="1:4" x14ac:dyDescent="0.2">
      <c r="A27" s="44"/>
      <c r="B27" s="44"/>
      <c r="C27" s="55" t="s">
        <v>78</v>
      </c>
      <c r="D27" s="56" t="str">
        <f>VLOOKUP(D8,REFERENCIA!A3:B20,2,FALSE)</f>
        <v>JOÃO ALFREDO DANIEZE</v>
      </c>
    </row>
    <row r="28" spans="1:4" ht="13.5" thickBot="1" x14ac:dyDescent="0.25">
      <c r="A28" s="44"/>
      <c r="B28" s="44"/>
      <c r="C28" s="53" t="s">
        <v>85</v>
      </c>
      <c r="D28" s="59" t="s">
        <v>86</v>
      </c>
    </row>
    <row r="29" spans="1:4" ht="15.75" hidden="1" x14ac:dyDescent="0.2">
      <c r="C29" s="41"/>
      <c r="D29" s="42"/>
    </row>
    <row r="30" spans="1:4" ht="15.75" hidden="1" x14ac:dyDescent="0.2">
      <c r="C30" s="41"/>
      <c r="D30" s="42"/>
    </row>
    <row r="32" spans="1:4" hidden="1" x14ac:dyDescent="0.2">
      <c r="D32" s="43"/>
    </row>
  </sheetData>
  <sheetProtection sheet="1" selectLockedCells="1"/>
  <dataConsolidate/>
  <mergeCells count="4">
    <mergeCell ref="C7:D7"/>
    <mergeCell ref="C12:D12"/>
    <mergeCell ref="C20:D20"/>
    <mergeCell ref="C26:D26"/>
  </mergeCells>
  <dataValidations disablePrompts="1" count="1">
    <dataValidation type="decimal" allowBlank="1" showErrorMessage="1" error="Digite um valor em percentual._x000a__x000a_Ou seja um valor de 0% (zero) até 100% (cem). " sqref="D11" xr:uid="{00000000-0002-0000-0200-000000000000}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REFERENCIA!$A$3:$A$20</xm:f>
          </x14:formula1>
          <xm:sqref>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06B5F-FE56-4D65-BEB1-466BED835FD2}">
  <sheetPr>
    <pageSetUpPr fitToPage="1"/>
  </sheetPr>
  <dimension ref="A2:F32"/>
  <sheetViews>
    <sheetView workbookViewId="0"/>
  </sheetViews>
  <sheetFormatPr defaultRowHeight="15" x14ac:dyDescent="0.25"/>
  <cols>
    <col min="1" max="1" width="3.140625" style="2" customWidth="1"/>
    <col min="2" max="3" width="12.7109375" customWidth="1"/>
    <col min="4" max="4" width="5.28515625" customWidth="1"/>
    <col min="5" max="5" width="57.28515625" customWidth="1"/>
  </cols>
  <sheetData>
    <row r="2" spans="1:6" ht="21" customHeight="1" x14ac:dyDescent="0.25">
      <c r="B2" s="564"/>
      <c r="C2" s="565"/>
      <c r="D2" s="570" t="s">
        <v>778</v>
      </c>
      <c r="E2" s="571"/>
    </row>
    <row r="3" spans="1:6" ht="21" customHeight="1" x14ac:dyDescent="0.25">
      <c r="B3" s="566"/>
      <c r="C3" s="567"/>
      <c r="D3" s="572"/>
      <c r="E3" s="573"/>
    </row>
    <row r="4" spans="1:6" ht="20.25" customHeight="1" x14ac:dyDescent="0.25">
      <c r="B4" s="568"/>
      <c r="C4" s="569"/>
      <c r="D4" s="574"/>
      <c r="E4" s="575"/>
    </row>
    <row r="5" spans="1:6" x14ac:dyDescent="0.25">
      <c r="B5" s="576" t="s">
        <v>779</v>
      </c>
      <c r="C5" s="576"/>
      <c r="D5" s="577" t="str">
        <f>'ORÇAMENTO_N DES'!C6</f>
        <v>CONSTRUÇÃO DE PONTOS DE ÔNIBUS</v>
      </c>
      <c r="E5" s="578"/>
      <c r="F5" s="365"/>
    </row>
    <row r="6" spans="1:6" x14ac:dyDescent="0.25">
      <c r="B6" s="579" t="s">
        <v>780</v>
      </c>
      <c r="C6" s="580"/>
      <c r="D6" s="581" t="s">
        <v>806</v>
      </c>
      <c r="E6" s="578"/>
      <c r="F6" s="365"/>
    </row>
    <row r="7" spans="1:6" x14ac:dyDescent="0.25">
      <c r="B7" s="576" t="s">
        <v>781</v>
      </c>
      <c r="C7" s="576"/>
      <c r="D7" s="577" t="str">
        <f>'ORÇAMENTO_N DES'!C7</f>
        <v>RIBAS DO RIO PARDO - MS</v>
      </c>
      <c r="E7" s="578"/>
      <c r="F7" s="365"/>
    </row>
    <row r="8" spans="1:6" ht="5.25" customHeight="1" x14ac:dyDescent="0.25">
      <c r="B8" s="366"/>
      <c r="C8" s="366"/>
      <c r="D8" s="366"/>
      <c r="E8" s="367"/>
      <c r="F8" s="365"/>
    </row>
    <row r="9" spans="1:6" x14ac:dyDescent="0.25">
      <c r="B9" s="582" t="s">
        <v>782</v>
      </c>
      <c r="C9" s="583"/>
      <c r="D9" s="583"/>
      <c r="E9" s="584"/>
      <c r="F9" s="365"/>
    </row>
    <row r="10" spans="1:6" ht="15.75" x14ac:dyDescent="0.25">
      <c r="B10" s="585">
        <f t="array" ref="B10">AVERAGE(A12:A32*1)</f>
        <v>0.95238095238095233</v>
      </c>
      <c r="C10" s="585"/>
      <c r="D10" s="585"/>
      <c r="E10" s="585"/>
      <c r="F10" s="365"/>
    </row>
    <row r="11" spans="1:6" ht="4.5" customHeight="1" x14ac:dyDescent="0.25">
      <c r="B11" s="366"/>
      <c r="C11" s="366"/>
      <c r="D11" s="366"/>
      <c r="E11" s="367"/>
      <c r="F11" s="365"/>
    </row>
    <row r="12" spans="1:6" ht="22.5" customHeight="1" x14ac:dyDescent="0.25">
      <c r="A12" s="368" t="b">
        <v>1</v>
      </c>
      <c r="B12" s="586" t="s">
        <v>783</v>
      </c>
      <c r="C12" s="587"/>
      <c r="D12" s="369"/>
      <c r="E12" s="370" t="s">
        <v>784</v>
      </c>
    </row>
    <row r="13" spans="1:6" ht="21.75" customHeight="1" x14ac:dyDescent="0.25">
      <c r="A13" s="368" t="b">
        <v>1</v>
      </c>
      <c r="B13" s="588"/>
      <c r="C13" s="589"/>
      <c r="D13" s="369"/>
      <c r="E13" s="370" t="s">
        <v>785</v>
      </c>
    </row>
    <row r="14" spans="1:6" ht="18.75" customHeight="1" x14ac:dyDescent="0.25">
      <c r="A14" s="368" t="b">
        <v>1</v>
      </c>
      <c r="B14" s="588"/>
      <c r="C14" s="589"/>
      <c r="D14" s="369"/>
      <c r="E14" s="370" t="s">
        <v>786</v>
      </c>
    </row>
    <row r="15" spans="1:6" ht="18.75" customHeight="1" x14ac:dyDescent="0.25">
      <c r="A15" s="368" t="b">
        <v>1</v>
      </c>
      <c r="B15" s="588"/>
      <c r="C15" s="589"/>
      <c r="D15" s="369"/>
      <c r="E15" s="370" t="s">
        <v>787</v>
      </c>
    </row>
    <row r="16" spans="1:6" ht="30.75" customHeight="1" x14ac:dyDescent="0.25">
      <c r="A16" s="368" t="b">
        <v>1</v>
      </c>
      <c r="B16" s="588"/>
      <c r="C16" s="589"/>
      <c r="D16" s="369"/>
      <c r="E16" s="370" t="s">
        <v>788</v>
      </c>
    </row>
    <row r="17" spans="1:5" ht="30.75" customHeight="1" x14ac:dyDescent="0.25">
      <c r="A17" s="368" t="b">
        <v>1</v>
      </c>
      <c r="B17" s="588"/>
      <c r="C17" s="589"/>
      <c r="D17" s="369"/>
      <c r="E17" s="370" t="s">
        <v>789</v>
      </c>
    </row>
    <row r="18" spans="1:5" ht="28.5" x14ac:dyDescent="0.25">
      <c r="A18" s="368" t="b">
        <v>1</v>
      </c>
      <c r="B18" s="588"/>
      <c r="C18" s="589"/>
      <c r="D18" s="369"/>
      <c r="E18" s="370" t="s">
        <v>790</v>
      </c>
    </row>
    <row r="19" spans="1:5" ht="32.25" customHeight="1" x14ac:dyDescent="0.25">
      <c r="A19" s="368" t="b">
        <v>1</v>
      </c>
      <c r="B19" s="588"/>
      <c r="C19" s="589"/>
      <c r="D19" s="369"/>
      <c r="E19" s="370" t="s">
        <v>791</v>
      </c>
    </row>
    <row r="20" spans="1:5" ht="23.25" customHeight="1" x14ac:dyDescent="0.25">
      <c r="A20" s="368" t="b">
        <v>1</v>
      </c>
      <c r="B20" s="588"/>
      <c r="C20" s="589"/>
      <c r="D20" s="369"/>
      <c r="E20" s="370" t="s">
        <v>792</v>
      </c>
    </row>
    <row r="21" spans="1:5" ht="30.75" customHeight="1" x14ac:dyDescent="0.25">
      <c r="A21" s="368" t="b">
        <v>1</v>
      </c>
      <c r="B21" s="588"/>
      <c r="C21" s="589"/>
      <c r="D21" s="369"/>
      <c r="E21" s="370" t="s">
        <v>793</v>
      </c>
    </row>
    <row r="22" spans="1:5" ht="30" customHeight="1" x14ac:dyDescent="0.25">
      <c r="A22" s="368" t="b">
        <v>1</v>
      </c>
      <c r="B22" s="588"/>
      <c r="C22" s="589"/>
      <c r="D22" s="369"/>
      <c r="E22" s="370" t="s">
        <v>794</v>
      </c>
    </row>
    <row r="23" spans="1:5" ht="29.25" customHeight="1" x14ac:dyDescent="0.25">
      <c r="A23" s="368" t="b">
        <v>1</v>
      </c>
      <c r="B23" s="588"/>
      <c r="C23" s="589"/>
      <c r="D23" s="369"/>
      <c r="E23" s="370" t="s">
        <v>795</v>
      </c>
    </row>
    <row r="24" spans="1:5" ht="29.25" customHeight="1" x14ac:dyDescent="0.25">
      <c r="A24" s="368" t="b">
        <v>1</v>
      </c>
      <c r="B24" s="588"/>
      <c r="C24" s="589"/>
      <c r="D24" s="369"/>
      <c r="E24" s="370" t="s">
        <v>796</v>
      </c>
    </row>
    <row r="25" spans="1:5" ht="29.25" customHeight="1" x14ac:dyDescent="0.25">
      <c r="A25" s="368" t="b">
        <v>1</v>
      </c>
      <c r="B25" s="588"/>
      <c r="C25" s="589"/>
      <c r="D25" s="369"/>
      <c r="E25" s="370" t="s">
        <v>797</v>
      </c>
    </row>
    <row r="26" spans="1:5" ht="29.25" customHeight="1" x14ac:dyDescent="0.25">
      <c r="A26" s="368" t="b">
        <v>1</v>
      </c>
      <c r="B26" s="588"/>
      <c r="C26" s="589"/>
      <c r="D26" s="369"/>
      <c r="E26" s="370" t="s">
        <v>798</v>
      </c>
    </row>
    <row r="27" spans="1:5" ht="29.25" customHeight="1" x14ac:dyDescent="0.25">
      <c r="A27" s="368" t="b">
        <v>1</v>
      </c>
      <c r="B27" s="588"/>
      <c r="C27" s="589"/>
      <c r="D27" s="369"/>
      <c r="E27" s="370" t="s">
        <v>799</v>
      </c>
    </row>
    <row r="28" spans="1:5" ht="29.25" customHeight="1" x14ac:dyDescent="0.25">
      <c r="A28" s="368" t="b">
        <v>1</v>
      </c>
      <c r="B28" s="588"/>
      <c r="C28" s="589"/>
      <c r="D28" s="369"/>
      <c r="E28" s="370" t="s">
        <v>800</v>
      </c>
    </row>
    <row r="29" spans="1:5" ht="29.25" customHeight="1" x14ac:dyDescent="0.25">
      <c r="A29" s="368" t="b">
        <v>1</v>
      </c>
      <c r="B29" s="588"/>
      <c r="C29" s="589"/>
      <c r="D29" s="369"/>
      <c r="E29" s="370" t="s">
        <v>801</v>
      </c>
    </row>
    <row r="30" spans="1:5" ht="29.25" customHeight="1" x14ac:dyDescent="0.25">
      <c r="A30" s="368" t="b">
        <v>1</v>
      </c>
      <c r="B30" s="588"/>
      <c r="C30" s="589"/>
      <c r="D30" s="369"/>
      <c r="E30" s="370" t="s">
        <v>802</v>
      </c>
    </row>
    <row r="31" spans="1:5" ht="29.25" customHeight="1" x14ac:dyDescent="0.25">
      <c r="A31" s="368" t="b">
        <v>1</v>
      </c>
      <c r="B31" s="588"/>
      <c r="C31" s="589"/>
      <c r="D31" s="369"/>
      <c r="E31" s="370" t="s">
        <v>803</v>
      </c>
    </row>
    <row r="32" spans="1:5" ht="29.25" customHeight="1" x14ac:dyDescent="0.25">
      <c r="A32" s="368" t="b">
        <v>0</v>
      </c>
      <c r="B32" s="590"/>
      <c r="C32" s="591"/>
      <c r="D32" s="369"/>
      <c r="E32" s="370" t="s">
        <v>804</v>
      </c>
    </row>
  </sheetData>
  <mergeCells count="11">
    <mergeCell ref="B7:C7"/>
    <mergeCell ref="D7:E7"/>
    <mergeCell ref="B9:E9"/>
    <mergeCell ref="B10:E10"/>
    <mergeCell ref="B12:C32"/>
    <mergeCell ref="B2:C4"/>
    <mergeCell ref="D2:E4"/>
    <mergeCell ref="B5:C5"/>
    <mergeCell ref="D5:E5"/>
    <mergeCell ref="B6:C6"/>
    <mergeCell ref="D6:E6"/>
  </mergeCells>
  <conditionalFormatting sqref="B10:E10">
    <cfRule type="dataBar" priority="2">
      <dataBar>
        <cfvo type="num" val="0"/>
        <cfvo type="num" val="1"/>
        <color rgb="FF00B050"/>
      </dataBar>
      <extLst>
        <ext xmlns:x14="http://schemas.microsoft.com/office/spreadsheetml/2009/9/main" uri="{B025F937-C7B1-47D3-B67F-A62EFF666E3E}">
          <x14:id>{17451269-AF25-4B63-88F0-1E523205FFC8}</x14:id>
        </ext>
      </extLst>
    </cfRule>
  </conditionalFormatting>
  <conditionalFormatting sqref="E12:E32">
    <cfRule type="expression" dxfId="8" priority="1">
      <formula>$A12=TRUE</formula>
    </cfRule>
  </conditionalFormatting>
  <pageMargins left="0.511811024" right="0.511811024" top="0.78740157499999996" bottom="0.78740157499999996" header="0.31496062000000002" footer="0.31496062000000002"/>
  <pageSetup paperSize="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Check Box 1">
              <controlPr defaultSize="0" autoFill="0" autoLine="0" autoPict="0">
                <anchor moveWithCells="1">
                  <from>
                    <xdr:col>3</xdr:col>
                    <xdr:colOff>66675</xdr:colOff>
                    <xdr:row>11</xdr:row>
                    <xdr:rowOff>0</xdr:rowOff>
                  </from>
                  <to>
                    <xdr:col>3</xdr:col>
                    <xdr:colOff>314325</xdr:colOff>
                    <xdr:row>11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Check Box 2">
              <controlPr defaultSize="0" autoFill="0" autoLine="0" autoPict="0">
                <anchor moveWithCells="1">
                  <from>
                    <xdr:col>3</xdr:col>
                    <xdr:colOff>76200</xdr:colOff>
                    <xdr:row>12</xdr:row>
                    <xdr:rowOff>19050</xdr:rowOff>
                  </from>
                  <to>
                    <xdr:col>3</xdr:col>
                    <xdr:colOff>266700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Check Box 3">
              <controlPr defaultSize="0" autoFill="0" autoLine="0" autoPict="0">
                <anchor moveWithCells="1">
                  <from>
                    <xdr:col>3</xdr:col>
                    <xdr:colOff>76200</xdr:colOff>
                    <xdr:row>13</xdr:row>
                    <xdr:rowOff>9525</xdr:rowOff>
                  </from>
                  <to>
                    <xdr:col>3</xdr:col>
                    <xdr:colOff>323850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Check Box 4">
              <controlPr defaultSize="0" autoFill="0" autoLine="0" autoPict="0">
                <anchor moveWithCells="1">
                  <from>
                    <xdr:col>3</xdr:col>
                    <xdr:colOff>76200</xdr:colOff>
                    <xdr:row>14</xdr:row>
                    <xdr:rowOff>0</xdr:rowOff>
                  </from>
                  <to>
                    <xdr:col>3</xdr:col>
                    <xdr:colOff>323850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9" r:id="rId8" name="Check Box 5">
              <controlPr defaultSize="0" autoFill="0" autoLine="0" autoPict="0">
                <anchor moveWithCells="1">
                  <from>
                    <xdr:col>3</xdr:col>
                    <xdr:colOff>66675</xdr:colOff>
                    <xdr:row>16</xdr:row>
                    <xdr:rowOff>19050</xdr:rowOff>
                  </from>
                  <to>
                    <xdr:col>3</xdr:col>
                    <xdr:colOff>314325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0" r:id="rId9" name="Check Box 6">
              <controlPr defaultSize="0" autoFill="0" autoLine="0" autoPict="0">
                <anchor moveWithCells="1">
                  <from>
                    <xdr:col>3</xdr:col>
                    <xdr:colOff>66675</xdr:colOff>
                    <xdr:row>17</xdr:row>
                    <xdr:rowOff>47625</xdr:rowOff>
                  </from>
                  <to>
                    <xdr:col>3</xdr:col>
                    <xdr:colOff>314325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1" r:id="rId10" name="Check Box 7">
              <controlPr defaultSize="0" autoFill="0" autoLine="0" autoPict="0">
                <anchor moveWithCells="1">
                  <from>
                    <xdr:col>3</xdr:col>
                    <xdr:colOff>85725</xdr:colOff>
                    <xdr:row>19</xdr:row>
                    <xdr:rowOff>9525</xdr:rowOff>
                  </from>
                  <to>
                    <xdr:col>3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2" r:id="rId11" name="Check Box 8">
              <controlPr defaultSize="0" autoFill="0" autoLine="0" autoPict="0">
                <anchor moveWithCells="1">
                  <from>
                    <xdr:col>3</xdr:col>
                    <xdr:colOff>76200</xdr:colOff>
                    <xdr:row>20</xdr:row>
                    <xdr:rowOff>66675</xdr:rowOff>
                  </from>
                  <to>
                    <xdr:col>3</xdr:col>
                    <xdr:colOff>323850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3" r:id="rId12" name="Check Box 9">
              <controlPr defaultSize="0" autoFill="0" autoLine="0" autoPict="0">
                <anchor moveWithCells="1">
                  <from>
                    <xdr:col>3</xdr:col>
                    <xdr:colOff>76200</xdr:colOff>
                    <xdr:row>21</xdr:row>
                    <xdr:rowOff>57150</xdr:rowOff>
                  </from>
                  <to>
                    <xdr:col>3</xdr:col>
                    <xdr:colOff>323850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4" r:id="rId13" name="Check Box 10">
              <controlPr defaultSize="0" autoFill="0" autoLine="0" autoPict="0">
                <anchor moveWithCells="1">
                  <from>
                    <xdr:col>3</xdr:col>
                    <xdr:colOff>76200</xdr:colOff>
                    <xdr:row>22</xdr:row>
                    <xdr:rowOff>66675</xdr:rowOff>
                  </from>
                  <to>
                    <xdr:col>3</xdr:col>
                    <xdr:colOff>323850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5" r:id="rId14" name="Check Box 11">
              <controlPr defaultSize="0" autoFill="0" autoLine="0" autoPict="0">
                <anchor moveWithCells="1">
                  <from>
                    <xdr:col>3</xdr:col>
                    <xdr:colOff>76200</xdr:colOff>
                    <xdr:row>23</xdr:row>
                    <xdr:rowOff>57150</xdr:rowOff>
                  </from>
                  <to>
                    <xdr:col>3</xdr:col>
                    <xdr:colOff>323850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6" r:id="rId15" name="Check Box 12">
              <controlPr defaultSize="0" autoFill="0" autoLine="0" autoPict="0">
                <anchor moveWithCells="1">
                  <from>
                    <xdr:col>3</xdr:col>
                    <xdr:colOff>76200</xdr:colOff>
                    <xdr:row>24</xdr:row>
                    <xdr:rowOff>57150</xdr:rowOff>
                  </from>
                  <to>
                    <xdr:col>3</xdr:col>
                    <xdr:colOff>323850</xdr:colOff>
                    <xdr:row>24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7" r:id="rId16" name="Check Box 13">
              <controlPr defaultSize="0" autoFill="0" autoLine="0" autoPict="0">
                <anchor moveWithCells="1">
                  <from>
                    <xdr:col>3</xdr:col>
                    <xdr:colOff>76200</xdr:colOff>
                    <xdr:row>25</xdr:row>
                    <xdr:rowOff>47625</xdr:rowOff>
                  </from>
                  <to>
                    <xdr:col>3</xdr:col>
                    <xdr:colOff>323850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8" r:id="rId17" name="Check Box 14">
              <controlPr defaultSize="0" autoFill="0" autoLine="0" autoPict="0">
                <anchor moveWithCells="1">
                  <from>
                    <xdr:col>3</xdr:col>
                    <xdr:colOff>76200</xdr:colOff>
                    <xdr:row>26</xdr:row>
                    <xdr:rowOff>57150</xdr:rowOff>
                  </from>
                  <to>
                    <xdr:col>3</xdr:col>
                    <xdr:colOff>323850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9" r:id="rId18" name="Check Box 15">
              <controlPr defaultSize="0" autoFill="0" autoLine="0" autoPict="0">
                <anchor moveWithCells="1">
                  <from>
                    <xdr:col>3</xdr:col>
                    <xdr:colOff>76200</xdr:colOff>
                    <xdr:row>27</xdr:row>
                    <xdr:rowOff>76200</xdr:rowOff>
                  </from>
                  <to>
                    <xdr:col>3</xdr:col>
                    <xdr:colOff>323850</xdr:colOff>
                    <xdr:row>27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0" r:id="rId19" name="Check Box 16">
              <controlPr defaultSize="0" autoFill="0" autoLine="0" autoPict="0">
                <anchor moveWithCells="1">
                  <from>
                    <xdr:col>3</xdr:col>
                    <xdr:colOff>76200</xdr:colOff>
                    <xdr:row>28</xdr:row>
                    <xdr:rowOff>57150</xdr:rowOff>
                  </from>
                  <to>
                    <xdr:col>3</xdr:col>
                    <xdr:colOff>323850</xdr:colOff>
                    <xdr:row>28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1" r:id="rId20" name="Check Box 17">
              <controlPr defaultSize="0" autoFill="0" autoLine="0" autoPict="0">
                <anchor moveWithCells="1">
                  <from>
                    <xdr:col>3</xdr:col>
                    <xdr:colOff>76200</xdr:colOff>
                    <xdr:row>29</xdr:row>
                    <xdr:rowOff>76200</xdr:rowOff>
                  </from>
                  <to>
                    <xdr:col>3</xdr:col>
                    <xdr:colOff>323850</xdr:colOff>
                    <xdr:row>29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2" r:id="rId21" name="Check Box 18">
              <controlPr defaultSize="0" autoFill="0" autoLine="0" autoPict="0">
                <anchor moveWithCells="1">
                  <from>
                    <xdr:col>3</xdr:col>
                    <xdr:colOff>76200</xdr:colOff>
                    <xdr:row>31</xdr:row>
                    <xdr:rowOff>57150</xdr:rowOff>
                  </from>
                  <to>
                    <xdr:col>3</xdr:col>
                    <xdr:colOff>323850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3" r:id="rId22" name="Check Box 19">
              <controlPr defaultSize="0" autoFill="0" autoLine="0" autoPict="0">
                <anchor moveWithCells="1">
                  <from>
                    <xdr:col>3</xdr:col>
                    <xdr:colOff>66675</xdr:colOff>
                    <xdr:row>15</xdr:row>
                    <xdr:rowOff>19050</xdr:rowOff>
                  </from>
                  <to>
                    <xdr:col>3</xdr:col>
                    <xdr:colOff>314325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4" r:id="rId23" name="Check Box 20">
              <controlPr defaultSize="0" autoFill="0" autoLine="0" autoPict="0">
                <anchor moveWithCells="1">
                  <from>
                    <xdr:col>3</xdr:col>
                    <xdr:colOff>76200</xdr:colOff>
                    <xdr:row>18</xdr:row>
                    <xdr:rowOff>0</xdr:rowOff>
                  </from>
                  <to>
                    <xdr:col>3</xdr:col>
                    <xdr:colOff>323850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5" r:id="rId24" name="Check Box 21">
              <controlPr defaultSize="0" autoFill="0" autoLine="0" autoPict="0">
                <anchor moveWithCells="1">
                  <from>
                    <xdr:col>3</xdr:col>
                    <xdr:colOff>76200</xdr:colOff>
                    <xdr:row>30</xdr:row>
                    <xdr:rowOff>57150</xdr:rowOff>
                  </from>
                  <to>
                    <xdr:col>3</xdr:col>
                    <xdr:colOff>323850</xdr:colOff>
                    <xdr:row>30</xdr:row>
                    <xdr:rowOff>333375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451269-AF25-4B63-88F0-1E523205FFC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B10:E10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F3338-CD94-47D1-865E-11100E927DB8}">
  <sheetPr>
    <pageSetUpPr fitToPage="1"/>
  </sheetPr>
  <dimension ref="A1:M20"/>
  <sheetViews>
    <sheetView tabSelected="1" view="pageBreakPreview" zoomScale="145" zoomScaleNormal="100" zoomScaleSheetLayoutView="145" workbookViewId="0">
      <selection activeCell="B16" sqref="B16:H16"/>
    </sheetView>
  </sheetViews>
  <sheetFormatPr defaultRowHeight="15" x14ac:dyDescent="0.25"/>
  <cols>
    <col min="1" max="1" width="20" customWidth="1"/>
  </cols>
  <sheetData>
    <row r="1" spans="1:13" s="353" customFormat="1" ht="14.45" customHeight="1" x14ac:dyDescent="0.25">
      <c r="A1" s="371"/>
      <c r="B1" s="20"/>
      <c r="C1" s="592" t="str">
        <f>'ORÇAMENTO_N DES'!D2</f>
        <v>GOVERNO DO ESTADO DE MATO GROSSO DO SUL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</row>
    <row r="2" spans="1:13" s="353" customFormat="1" ht="14.45" customHeight="1" x14ac:dyDescent="0.25">
      <c r="A2" s="372"/>
      <c r="B2" s="21"/>
      <c r="C2" s="593" t="str">
        <f>'ORÇAMENTO_N DES'!D3</f>
        <v>PREFEITURA MUNICIPAL DE RIBAS DO RIO PARDO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</row>
    <row r="3" spans="1:13" s="353" customFormat="1" ht="14.45" customHeight="1" x14ac:dyDescent="0.25">
      <c r="A3" s="373"/>
      <c r="B3" s="22"/>
      <c r="C3" s="592" t="str">
        <f>'ORÇAMENTO_N DES'!D4</f>
        <v>SECRETARIA DE OBRAS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</row>
    <row r="4" spans="1:13" s="353" customFormat="1" ht="20.45" customHeight="1" x14ac:dyDescent="0.25">
      <c r="A4" s="594" t="s">
        <v>888</v>
      </c>
      <c r="B4" s="595"/>
      <c r="C4" s="595"/>
      <c r="D4" s="595"/>
      <c r="E4" s="595"/>
      <c r="F4" s="595"/>
      <c r="G4" s="595"/>
      <c r="H4" s="595"/>
      <c r="I4" s="595"/>
      <c r="J4" s="595"/>
      <c r="K4" s="596"/>
      <c r="L4" s="596"/>
      <c r="M4" s="596"/>
    </row>
    <row r="5" spans="1:13" s="353" customFormat="1" ht="14.45" customHeight="1" x14ac:dyDescent="0.25">
      <c r="A5" s="375" t="s">
        <v>63</v>
      </c>
      <c r="B5" s="597" t="str">
        <f>'ORÇAMENTO_N DES'!C6</f>
        <v>CONSTRUÇÃO DE PONTOS DE ÔNIBUS</v>
      </c>
      <c r="C5" s="598"/>
      <c r="D5" s="598"/>
      <c r="E5" s="598"/>
      <c r="F5" s="598"/>
      <c r="G5" s="598"/>
      <c r="H5" s="598"/>
      <c r="I5" s="598"/>
      <c r="J5" s="598"/>
      <c r="K5" s="599" t="s">
        <v>45</v>
      </c>
      <c r="L5" s="600"/>
      <c r="M5" s="601"/>
    </row>
    <row r="6" spans="1:13" s="353" customFormat="1" ht="14.45" customHeight="1" x14ac:dyDescent="0.25">
      <c r="A6" s="375" t="s">
        <v>64</v>
      </c>
      <c r="B6" s="597" t="str">
        <f>'ORÇAMENTO_N DES'!C7</f>
        <v>RIBAS DO RIO PARDO - MS</v>
      </c>
      <c r="C6" s="598"/>
      <c r="D6" s="598"/>
      <c r="E6" s="598"/>
      <c r="F6" s="598"/>
      <c r="G6" s="598"/>
      <c r="H6" s="598"/>
      <c r="I6" s="598"/>
      <c r="J6" s="598"/>
      <c r="K6" s="602"/>
      <c r="L6" s="603"/>
      <c r="M6" s="604"/>
    </row>
    <row r="7" spans="1:13" s="353" customFormat="1" ht="14.45" customHeight="1" x14ac:dyDescent="0.25">
      <c r="A7" s="375" t="s">
        <v>65</v>
      </c>
      <c r="B7" s="597" t="str">
        <f>'ORÇAMENTO_N DES'!C8</f>
        <v>RIBAS DO RIO PARDO</v>
      </c>
      <c r="C7" s="598"/>
      <c r="D7" s="598"/>
      <c r="E7" s="598"/>
      <c r="F7" s="598"/>
      <c r="G7" s="598"/>
      <c r="H7" s="598"/>
      <c r="I7" s="598"/>
      <c r="J7" s="598"/>
      <c r="K7" s="605" t="str">
        <f>'ORÇAMENTO_N DES'!M7</f>
        <v>_________________________________
FÁBIO MARQUES RIBEIRO
CREA - 15.276 D</v>
      </c>
      <c r="L7" s="606"/>
      <c r="M7" s="607"/>
    </row>
    <row r="8" spans="1:13" s="353" customFormat="1" ht="14.45" customHeight="1" x14ac:dyDescent="0.25">
      <c r="A8" s="375" t="s">
        <v>66</v>
      </c>
      <c r="B8" s="611" t="str">
        <f>'ORÇAMENTO_N DES'!C11</f>
        <v>AGESUL(JUNHO/2024) SINAPI (JUNHO/2024 SBC (JUNHO/2024)</v>
      </c>
      <c r="C8" s="598"/>
      <c r="D8" s="598"/>
      <c r="E8" s="598"/>
      <c r="F8" s="598"/>
      <c r="G8" s="598"/>
      <c r="H8" s="598"/>
      <c r="I8" s="598"/>
      <c r="J8" s="598"/>
      <c r="K8" s="608"/>
      <c r="L8" s="609"/>
      <c r="M8" s="610"/>
    </row>
    <row r="9" spans="1:13" ht="15" customHeight="1" x14ac:dyDescent="0.25">
      <c r="A9" s="612" t="s">
        <v>5</v>
      </c>
      <c r="B9" s="614" t="s">
        <v>805</v>
      </c>
      <c r="C9" s="614"/>
      <c r="D9" s="614"/>
      <c r="E9" s="614"/>
      <c r="F9" s="614"/>
      <c r="G9" s="614"/>
      <c r="H9" s="614"/>
      <c r="I9" s="615" t="s">
        <v>895</v>
      </c>
      <c r="J9" s="616"/>
      <c r="K9" s="619" t="s">
        <v>896</v>
      </c>
      <c r="L9" s="620"/>
      <c r="M9" s="621"/>
    </row>
    <row r="10" spans="1:13" x14ac:dyDescent="0.25">
      <c r="A10" s="613" t="s">
        <v>5</v>
      </c>
      <c r="B10" s="614"/>
      <c r="C10" s="614"/>
      <c r="D10" s="614"/>
      <c r="E10" s="614"/>
      <c r="F10" s="614"/>
      <c r="G10" s="614"/>
      <c r="H10" s="614"/>
      <c r="I10" s="617"/>
      <c r="J10" s="618"/>
      <c r="K10" s="622"/>
      <c r="L10" s="623"/>
      <c r="M10" s="624"/>
    </row>
    <row r="11" spans="1:13" x14ac:dyDescent="0.25">
      <c r="A11" s="374" t="s">
        <v>12</v>
      </c>
      <c r="B11" s="614" t="str">
        <f>VLOOKUP(A11,'ORÇAMENTO_N DES'!B:P,6,FALSE)</f>
        <v>SERVIÇOS PRELIMINARES</v>
      </c>
      <c r="C11" s="614"/>
      <c r="D11" s="614"/>
      <c r="E11" s="614"/>
      <c r="F11" s="614"/>
      <c r="G11" s="614"/>
      <c r="H11" s="614"/>
      <c r="I11" s="625">
        <f t="shared" ref="I11:I19" si="0">K11/$K$20</f>
        <v>0.11941830984438792</v>
      </c>
      <c r="J11" s="625"/>
      <c r="K11" s="626">
        <f>VLOOKUP(A11,'ORÇAMENTO_N DES'!B:P,14,0)</f>
        <v>134058.96000000002</v>
      </c>
      <c r="L11" s="626"/>
      <c r="M11" s="626"/>
    </row>
    <row r="12" spans="1:13" x14ac:dyDescent="0.25">
      <c r="A12" s="374" t="s">
        <v>11</v>
      </c>
      <c r="B12" s="614" t="str">
        <f>VLOOKUP(A12,'ORÇAMENTO_N DES'!B:P,6,FALSE)</f>
        <v>ESTRUTURA DE CONCRETO ARMADO</v>
      </c>
      <c r="C12" s="614"/>
      <c r="D12" s="614"/>
      <c r="E12" s="614"/>
      <c r="F12" s="614"/>
      <c r="G12" s="614"/>
      <c r="H12" s="614"/>
      <c r="I12" s="625">
        <f t="shared" si="0"/>
        <v>0.24357715182377881</v>
      </c>
      <c r="J12" s="625"/>
      <c r="K12" s="626">
        <f>VLOOKUP(A12,'ORÇAMENTO_N DES'!B:P,14,0)</f>
        <v>273439.64000000007</v>
      </c>
      <c r="L12" s="626"/>
      <c r="M12" s="626"/>
    </row>
    <row r="13" spans="1:13" x14ac:dyDescent="0.25">
      <c r="A13" s="374" t="s">
        <v>18</v>
      </c>
      <c r="B13" s="614" t="str">
        <f>VLOOKUP(A13,'ORÇAMENTO_N DES'!B:P,6,FALSE)</f>
        <v>ESTRUTURA METÁLICA</v>
      </c>
      <c r="C13" s="614"/>
      <c r="D13" s="614"/>
      <c r="E13" s="614"/>
      <c r="F13" s="614"/>
      <c r="G13" s="614"/>
      <c r="H13" s="614"/>
      <c r="I13" s="625">
        <f t="shared" si="0"/>
        <v>0.25319213738261165</v>
      </c>
      <c r="J13" s="625"/>
      <c r="K13" s="626">
        <f>VLOOKUP(A13,'ORÇAMENTO_N DES'!B:P,14,0)</f>
        <v>284233.42</v>
      </c>
      <c r="L13" s="626"/>
      <c r="M13" s="626"/>
    </row>
    <row r="14" spans="1:13" x14ac:dyDescent="0.25">
      <c r="A14" s="374" t="s">
        <v>34</v>
      </c>
      <c r="B14" s="614" t="str">
        <f>VLOOKUP(A14,'ORÇAMENTO_N DES'!B:P,6,FALSE)</f>
        <v>COBERTURA</v>
      </c>
      <c r="C14" s="614"/>
      <c r="D14" s="614"/>
      <c r="E14" s="614"/>
      <c r="F14" s="614"/>
      <c r="G14" s="614"/>
      <c r="H14" s="614"/>
      <c r="I14" s="625">
        <f t="shared" si="0"/>
        <v>0.1097245517727775</v>
      </c>
      <c r="J14" s="625"/>
      <c r="K14" s="626">
        <f>VLOOKUP(A14,'ORÇAMENTO_N DES'!B:P,14,0)</f>
        <v>123176.75</v>
      </c>
      <c r="L14" s="626"/>
      <c r="M14" s="626"/>
    </row>
    <row r="15" spans="1:13" x14ac:dyDescent="0.25">
      <c r="A15" s="374" t="s">
        <v>57</v>
      </c>
      <c r="B15" s="614" t="str">
        <f>VLOOKUP(A15,'ORÇAMENTO_N DES'!B:P,6,FALSE)</f>
        <v>PISO</v>
      </c>
      <c r="C15" s="614"/>
      <c r="D15" s="614"/>
      <c r="E15" s="614"/>
      <c r="F15" s="614"/>
      <c r="G15" s="614"/>
      <c r="H15" s="614"/>
      <c r="I15" s="625">
        <f t="shared" si="0"/>
        <v>0.11494846190544623</v>
      </c>
      <c r="J15" s="625"/>
      <c r="K15" s="626">
        <f>VLOOKUP(A15,'ORÇAMENTO_N DES'!B:P,14,0)</f>
        <v>129041.10999999999</v>
      </c>
      <c r="L15" s="626"/>
      <c r="M15" s="626"/>
    </row>
    <row r="16" spans="1:13" x14ac:dyDescent="0.25">
      <c r="A16" s="374" t="s">
        <v>116</v>
      </c>
      <c r="B16" s="614" t="str">
        <f>VLOOKUP(A16,'ORÇAMENTO_N DES'!B:P,6,FALSE)</f>
        <v>URBANIZAÇÃO</v>
      </c>
      <c r="C16" s="614"/>
      <c r="D16" s="614"/>
      <c r="E16" s="614"/>
      <c r="F16" s="614"/>
      <c r="G16" s="614"/>
      <c r="H16" s="614"/>
      <c r="I16" s="625">
        <f t="shared" ref="I16:I17" si="1">K16/$K$20</f>
        <v>1.1650457312161607E-2</v>
      </c>
      <c r="J16" s="625"/>
      <c r="K16" s="626">
        <f>VLOOKUP(A16,'ORÇAMENTO_N DES'!B:P,14,0)</f>
        <v>13078.8</v>
      </c>
      <c r="L16" s="626"/>
      <c r="M16" s="626"/>
    </row>
    <row r="17" spans="1:13" x14ac:dyDescent="0.25">
      <c r="A17" s="374" t="s">
        <v>59</v>
      </c>
      <c r="B17" s="614" t="str">
        <f>VLOOKUP(A17,'ORÇAMENTO_N DES'!B:P,6,FALSE)</f>
        <v>SERVIÇOS COMPLEMENTARES</v>
      </c>
      <c r="C17" s="614"/>
      <c r="D17" s="614"/>
      <c r="E17" s="614"/>
      <c r="F17" s="614"/>
      <c r="G17" s="614"/>
      <c r="H17" s="614"/>
      <c r="I17" s="625">
        <f t="shared" si="1"/>
        <v>5.4515478184116055E-2</v>
      </c>
      <c r="J17" s="625"/>
      <c r="K17" s="626">
        <f>VLOOKUP(A17,'ORÇAMENTO_N DES'!B:P,14,0)</f>
        <v>61199.060000000005</v>
      </c>
      <c r="L17" s="626"/>
      <c r="M17" s="626"/>
    </row>
    <row r="18" spans="1:13" x14ac:dyDescent="0.25">
      <c r="A18" s="374" t="s">
        <v>61</v>
      </c>
      <c r="B18" s="614" t="str">
        <f>VLOOKUP(A18,'ORÇAMENTO_N DES'!B:P,6,FALSE)</f>
        <v xml:space="preserve">ADMINISTRAÇÃO LOCAL </v>
      </c>
      <c r="C18" s="614"/>
      <c r="D18" s="614"/>
      <c r="E18" s="614"/>
      <c r="F18" s="614"/>
      <c r="G18" s="614"/>
      <c r="H18" s="614"/>
      <c r="I18" s="625">
        <f t="shared" si="0"/>
        <v>6.8917726693515716E-2</v>
      </c>
      <c r="J18" s="625"/>
      <c r="K18" s="626">
        <f>VLOOKUP(A18,'ORÇAMENTO_N DES'!B:P,14,0)</f>
        <v>77367.02</v>
      </c>
      <c r="L18" s="626"/>
      <c r="M18" s="626"/>
    </row>
    <row r="19" spans="1:13" x14ac:dyDescent="0.25">
      <c r="A19" s="374" t="s">
        <v>118</v>
      </c>
      <c r="B19" s="614" t="str">
        <f>VLOOKUP(A19,'ORÇAMENTO_N DES'!B:P,6,FALSE)</f>
        <v xml:space="preserve">LIMPEZA FINAL </v>
      </c>
      <c r="C19" s="614"/>
      <c r="D19" s="614"/>
      <c r="E19" s="614"/>
      <c r="F19" s="614"/>
      <c r="G19" s="614"/>
      <c r="H19" s="614"/>
      <c r="I19" s="625">
        <f t="shared" si="0"/>
        <v>2.4055725081204592E-2</v>
      </c>
      <c r="J19" s="625"/>
      <c r="K19" s="626">
        <f>VLOOKUP(A19,'ORÇAMENTO_N DES'!B:P,14,0)</f>
        <v>27004.95</v>
      </c>
      <c r="L19" s="626"/>
      <c r="M19" s="626"/>
    </row>
    <row r="20" spans="1:13" x14ac:dyDescent="0.25">
      <c r="I20" s="629">
        <f>SUM(I11:J19)</f>
        <v>1.0000000000000002</v>
      </c>
      <c r="J20" s="628"/>
      <c r="K20" s="627">
        <f>SUM(K11:M19)</f>
        <v>1122599.71</v>
      </c>
      <c r="L20" s="628"/>
      <c r="M20" s="628"/>
    </row>
  </sheetData>
  <mergeCells count="43">
    <mergeCell ref="B19:H19"/>
    <mergeCell ref="I19:J19"/>
    <mergeCell ref="K19:M19"/>
    <mergeCell ref="K20:M20"/>
    <mergeCell ref="I20:J20"/>
    <mergeCell ref="B15:H15"/>
    <mergeCell ref="I15:J15"/>
    <mergeCell ref="K15:M15"/>
    <mergeCell ref="B18:H18"/>
    <mergeCell ref="I18:J18"/>
    <mergeCell ref="K18:M18"/>
    <mergeCell ref="B16:H16"/>
    <mergeCell ref="I16:J16"/>
    <mergeCell ref="K16:M16"/>
    <mergeCell ref="B17:H17"/>
    <mergeCell ref="I17:J17"/>
    <mergeCell ref="K17:M17"/>
    <mergeCell ref="B13:H13"/>
    <mergeCell ref="I13:J13"/>
    <mergeCell ref="K13:M13"/>
    <mergeCell ref="B14:H14"/>
    <mergeCell ref="I14:J14"/>
    <mergeCell ref="K14:M14"/>
    <mergeCell ref="B11:H11"/>
    <mergeCell ref="I11:J11"/>
    <mergeCell ref="K11:M11"/>
    <mergeCell ref="B12:H12"/>
    <mergeCell ref="I12:J12"/>
    <mergeCell ref="K12:M12"/>
    <mergeCell ref="B7:J7"/>
    <mergeCell ref="K7:M8"/>
    <mergeCell ref="B8:J8"/>
    <mergeCell ref="A9:A10"/>
    <mergeCell ref="B9:H10"/>
    <mergeCell ref="I9:J10"/>
    <mergeCell ref="K9:M10"/>
    <mergeCell ref="C1:M1"/>
    <mergeCell ref="C2:M2"/>
    <mergeCell ref="C3:M3"/>
    <mergeCell ref="A4:M4"/>
    <mergeCell ref="B5:J5"/>
    <mergeCell ref="K5:M6"/>
    <mergeCell ref="B6:J6"/>
  </mergeCells>
  <pageMargins left="0.7" right="0.7" top="0.75" bottom="0.75" header="0.3" footer="0.3"/>
  <pageSetup paperSize="9" fitToHeight="0" orientation="landscape" r:id="rId1"/>
  <headerFooter>
    <oddFooter>Página &amp;P de 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BB02-4E4E-4673-9D44-662370378144}">
  <sheetPr>
    <tabColor theme="4" tint="0.79998168889431442"/>
    <pageSetUpPr fitToPage="1"/>
  </sheetPr>
  <dimension ref="A1:O18"/>
  <sheetViews>
    <sheetView view="pageBreakPreview" zoomScale="130" zoomScaleNormal="100" zoomScaleSheetLayoutView="130" workbookViewId="0">
      <selection activeCell="C12" sqref="C12"/>
    </sheetView>
  </sheetViews>
  <sheetFormatPr defaultColWidth="9.140625" defaultRowHeight="15" x14ac:dyDescent="0.25"/>
  <cols>
    <col min="1" max="1" width="9.140625" style="87"/>
    <col min="2" max="2" width="24.5703125" style="335" customWidth="1"/>
    <col min="3" max="3" width="68.28515625" style="349" customWidth="1"/>
    <col min="4" max="4" width="11.5703125" style="335" customWidth="1"/>
    <col min="5" max="5" width="13.5703125" style="350" customWidth="1"/>
    <col min="6" max="6" width="10.140625" style="2" bestFit="1" customWidth="1"/>
    <col min="7" max="16384" width="9.140625" style="2"/>
  </cols>
  <sheetData>
    <row r="1" spans="2:15" x14ac:dyDescent="0.25">
      <c r="B1" s="86"/>
      <c r="C1" s="336"/>
      <c r="D1" s="86"/>
      <c r="E1" s="337"/>
    </row>
    <row r="2" spans="2:15" x14ac:dyDescent="0.25">
      <c r="B2" s="376"/>
      <c r="C2" s="265" t="str">
        <f>'ORÇAMENTO_N DES'!D2</f>
        <v>GOVERNO DO ESTADO DE MATO GROSSO DO SUL</v>
      </c>
      <c r="D2" s="267"/>
      <c r="E2" s="377"/>
    </row>
    <row r="3" spans="2:15" ht="15.75" x14ac:dyDescent="0.25">
      <c r="B3" s="378"/>
      <c r="C3" s="270" t="str">
        <f>'ORÇAMENTO_N DES'!D3</f>
        <v>PREFEITURA MUNICIPAL DE RIBAS DO RIO PARDO</v>
      </c>
      <c r="D3" s="272"/>
      <c r="E3" s="379"/>
    </row>
    <row r="4" spans="2:15" x14ac:dyDescent="0.25">
      <c r="B4" s="380"/>
      <c r="C4" s="265" t="str">
        <f>'ORÇAMENTO_N DES'!D4</f>
        <v>SECRETARIA DE OBRAS</v>
      </c>
      <c r="D4" s="267"/>
      <c r="E4" s="377"/>
    </row>
    <row r="5" spans="2:15" ht="18" x14ac:dyDescent="0.25">
      <c r="B5" s="630" t="s">
        <v>807</v>
      </c>
      <c r="C5" s="631"/>
      <c r="D5" s="631"/>
      <c r="E5" s="632"/>
    </row>
    <row r="6" spans="2:15" x14ac:dyDescent="0.25">
      <c r="B6" s="381" t="s">
        <v>63</v>
      </c>
      <c r="C6" s="48" t="str">
        <f>'ORÇAMENTO_N DES'!C6</f>
        <v>CONSTRUÇÃO DE PONTOS DE ÔNIBUS</v>
      </c>
      <c r="D6" s="633" t="s">
        <v>45</v>
      </c>
      <c r="E6" s="634"/>
    </row>
    <row r="7" spans="2:15" x14ac:dyDescent="0.25">
      <c r="B7" s="381" t="s">
        <v>64</v>
      </c>
      <c r="C7" s="48" t="str">
        <f>'ORÇAMENTO_N DES'!C7</f>
        <v>RIBAS DO RIO PARDO - MS</v>
      </c>
      <c r="D7" s="635" t="str">
        <f>'ORÇAMENTO_N DES'!M7</f>
        <v>_________________________________
FÁBIO MARQUES RIBEIRO
CREA - 15.276 D</v>
      </c>
      <c r="E7" s="636"/>
    </row>
    <row r="8" spans="2:15" x14ac:dyDescent="0.25">
      <c r="B8" s="382" t="s">
        <v>65</v>
      </c>
      <c r="C8" s="280" t="str">
        <f>'ORÇAMENTO_N DES'!C8</f>
        <v>RIBAS DO RIO PARDO</v>
      </c>
      <c r="D8" s="635"/>
      <c r="E8" s="636"/>
    </row>
    <row r="9" spans="2:15" x14ac:dyDescent="0.25">
      <c r="B9" s="381" t="s">
        <v>36</v>
      </c>
      <c r="C9" s="285">
        <f>'ORÇAMENTO_N DES'!C9</f>
        <v>0.22474058685057496</v>
      </c>
      <c r="D9" s="635"/>
      <c r="E9" s="636"/>
    </row>
    <row r="10" spans="2:15" hidden="1" x14ac:dyDescent="0.25">
      <c r="B10" s="381" t="s">
        <v>657</v>
      </c>
      <c r="C10" s="286">
        <f>'ORÇAMENTO_N DES'!C10</f>
        <v>0.22474058685057496</v>
      </c>
      <c r="D10" s="635"/>
      <c r="E10" s="636"/>
    </row>
    <row r="11" spans="2:15" x14ac:dyDescent="0.25">
      <c r="B11" s="382" t="s">
        <v>66</v>
      </c>
      <c r="C11" s="287" t="str">
        <f>'ORÇAMENTO_N DES'!C11</f>
        <v>AGESUL(JUNHO/2024) SINAPI (JUNHO/2024 SBC (JUNHO/2024)</v>
      </c>
      <c r="D11" s="637"/>
      <c r="E11" s="638"/>
    </row>
    <row r="12" spans="2:15" x14ac:dyDescent="0.25">
      <c r="B12" s="383" t="s">
        <v>67</v>
      </c>
      <c r="C12" s="292" t="str">
        <f>'ORÇAMENTO_N DES'!C12</f>
        <v>ENCARGOS SOCIAIS ONERADOS: 106,76%(HORA) 64,39%(MÊS)</v>
      </c>
      <c r="D12" s="294"/>
      <c r="E12" s="320"/>
    </row>
    <row r="13" spans="2:15" x14ac:dyDescent="0.25">
      <c r="B13" s="384" t="s">
        <v>43</v>
      </c>
      <c r="C13" s="296" t="s">
        <v>52</v>
      </c>
      <c r="D13" s="296" t="s">
        <v>39</v>
      </c>
      <c r="E13" s="385" t="s">
        <v>40</v>
      </c>
    </row>
    <row r="14" spans="2:15" ht="36" x14ac:dyDescent="0.25">
      <c r="B14" s="386" t="str">
        <f>'ORÇAMENTO_N DES'!B42</f>
        <v>3.1</v>
      </c>
      <c r="C14" s="299" t="str">
        <f>VLOOKUP(Tabela32[[#This Row],[ITEM]],'ORÇAMENTO_N DES'!B:P,6,0)</f>
        <v>FORNECIMENTO, MONTAGEM E INSTALACAO DE ESTRUTURA METALICA, COM LIGACAO SOLDADAS, INCLUSOS PERFIS METALICOS, CHAPA METALICAS, MAO DE OBRA E TRANSPORTE COM GUINDALTO - FORNECIMENTO E INSTALACAO</v>
      </c>
      <c r="D14" s="85" t="str">
        <f>VLOOKUP(Tabela32[[#This Row],[ITEM]],'ORÇAMENTO_N DES'!B:P,7,0)</f>
        <v>KG</v>
      </c>
      <c r="E14" s="387">
        <f>VLOOKUP(Tabela32[[#This Row],[ITEM]],'ORÇAMENTO_N DES'!B:O,8)*0.5</f>
        <v>22.154999999999998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</row>
    <row r="15" spans="2:15" ht="36" x14ac:dyDescent="0.25">
      <c r="B15" s="386" t="str">
        <f>'ORÇAMENTO_N DES'!B43</f>
        <v>3.2</v>
      </c>
      <c r="C15" s="299" t="str">
        <f>VLOOKUP(Tabela32[[#This Row],[ITEM]],'ORÇAMENTO_N DES'!B:P,6,0)</f>
        <v>ESTRUTURA TRELIÇADA DE COBERTURA, TIPO SHED, COM LIGAÇÕES SOLDADAS, INCLUSOS PERFIS METÁLICOS, CHAPAS METÁLICAS, MÃO DE OBRA E TRANSPORTE COM GUINDASTE - FORNECIMENTO E INSTALAÇÃO. AF_01/2020_PSA</v>
      </c>
      <c r="D15" s="85" t="str">
        <f>VLOOKUP(Tabela32[[#This Row],[ITEM]],'ORÇAMENTO_N DES'!B:P,7,0)</f>
        <v>KG</v>
      </c>
      <c r="E15" s="387">
        <f>VLOOKUP(Tabela32[[#This Row],[ITEM]],'ORÇAMENTO_N DES'!B:O,8)*0.5</f>
        <v>66.239999999999995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</row>
    <row r="16" spans="2:15" ht="24" x14ac:dyDescent="0.25">
      <c r="B16" s="386" t="str">
        <f>'ORÇAMENTO_N DES'!B47</f>
        <v>4.1</v>
      </c>
      <c r="C16" s="299" t="str">
        <f>VLOOKUP(Tabela32[[#This Row],[ITEM]],'ORÇAMENTO_N DES'!B:P,6,0)</f>
        <v>TELHAMENTO COM TELHA METÁLICA TERMOACÚSTICA E = 30 MM, COM ATÉ 2 ÁGUAS, INCLUSO IÇAMENTO. AF_07/2019</v>
      </c>
      <c r="D16" s="85" t="str">
        <f>VLOOKUP(Tabela32[[#This Row],[ITEM]],'ORÇAMENTO_N DES'!B:P,7,0)</f>
        <v>M2</v>
      </c>
      <c r="E16" s="387">
        <f>VLOOKUP(Tabela32[[#This Row],[ITEM]],'ORÇAMENTO_N DES'!B:O,8)*0.5</f>
        <v>3.41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</row>
    <row r="17" spans="2:5" ht="24" x14ac:dyDescent="0.25">
      <c r="B17" s="386" t="str">
        <f>'ORÇAMENTO_N DES'!B54</f>
        <v>5.1.3</v>
      </c>
      <c r="C17" s="299" t="str">
        <f>VLOOKUP(Tabela32[[#This Row],[ITEM]],'ORÇAMENTO_N DES'!B:P,6,0)</f>
        <v>EXECUÇÃO DE PAVIMENTO EM PISO INTERTRAVADO, COM BLOCO RETANGULAR COR NATURAL DE 20 X 10 CM, ESPESSURA 6 CM. AF_10/2022</v>
      </c>
      <c r="D17" s="85" t="str">
        <f>VLOOKUP(Tabela32[[#This Row],[ITEM]],'ORÇAMENTO_N DES'!B:P,7,0)</f>
        <v>M2</v>
      </c>
      <c r="E17" s="387">
        <f>VLOOKUP(Tabela32[[#This Row],[ITEM]],'ORÇAMENTO_N DES'!B:O,8)*0.5</f>
        <v>8.2650000000000006</v>
      </c>
    </row>
    <row r="18" spans="2:5" ht="24" x14ac:dyDescent="0.25">
      <c r="B18" s="386" t="str">
        <f>'ORÇAMENTO_N DES'!B44</f>
        <v>3.3</v>
      </c>
      <c r="C18" s="299" t="str">
        <f>VLOOKUP(Tabela32[[#This Row],[ITEM]],'ORÇAMENTO_N DES'!B:P,6,0)</f>
        <v xml:space="preserve">FIXAÇÃO ENTRE BLOCO DE CONCRETO ARMADO E PILAR METÁLICO, COM PLACA DE CHAPA GROSSA E CHUMBADOR - FORNECIMENTO E INSTALAÇÃO </v>
      </c>
      <c r="D18" s="85" t="str">
        <f>VLOOKUP(Tabela32[[#This Row],[ITEM]],'ORÇAMENTO_N DES'!B:P,7,0)</f>
        <v>UN</v>
      </c>
      <c r="E18" s="387">
        <f>VLOOKUP(Tabela32[[#This Row],[ITEM]],'ORÇAMENTO_N DES'!B:O,8)*0.5</f>
        <v>1.5</v>
      </c>
    </row>
  </sheetData>
  <dataConsolidate/>
  <mergeCells count="3">
    <mergeCell ref="B5:E5"/>
    <mergeCell ref="D6:E6"/>
    <mergeCell ref="D7:E11"/>
  </mergeCells>
  <phoneticPr fontId="2" type="noConversion"/>
  <printOptions horizontalCentered="1"/>
  <pageMargins left="0.7" right="0.7" top="0.75" bottom="0.75" header="0.3" footer="0.3"/>
  <pageSetup paperSize="9" fitToHeight="0" orientation="landscape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theme="4" tint="0.79998168889431442"/>
    <pageSetUpPr fitToPage="1"/>
  </sheetPr>
  <dimension ref="A1:P70"/>
  <sheetViews>
    <sheetView view="pageBreakPreview" zoomScale="85" zoomScaleNormal="100" zoomScaleSheetLayoutView="85" workbookViewId="0">
      <selection activeCell="Q1" sqref="Q1:AF1048576"/>
    </sheetView>
  </sheetViews>
  <sheetFormatPr defaultColWidth="9.140625" defaultRowHeight="15" x14ac:dyDescent="0.25"/>
  <cols>
    <col min="1" max="1" width="9.140625" style="437"/>
    <col min="2" max="2" width="10" style="443" customWidth="1"/>
    <col min="3" max="3" width="15.28515625" style="443" customWidth="1"/>
    <col min="4" max="4" width="14.140625" style="443" customWidth="1"/>
    <col min="5" max="5" width="11.85546875" style="443" bestFit="1" customWidth="1"/>
    <col min="6" max="6" width="12.140625" style="463" customWidth="1"/>
    <col min="7" max="7" width="62.5703125" style="464" customWidth="1"/>
    <col min="8" max="8" width="12" style="443" customWidth="1"/>
    <col min="9" max="10" width="13.5703125" style="465" customWidth="1"/>
    <col min="11" max="11" width="15.7109375" style="466" customWidth="1"/>
    <col min="12" max="12" width="15.85546875" style="466" hidden="1" customWidth="1"/>
    <col min="13" max="13" width="17.7109375" style="465" customWidth="1"/>
    <col min="14" max="14" width="17.28515625" style="465" hidden="1" customWidth="1"/>
    <col min="15" max="15" width="17.28515625" style="465" customWidth="1"/>
    <col min="16" max="16" width="16.7109375" style="467" hidden="1" customWidth="1"/>
    <col min="17" max="16384" width="9.140625" style="443"/>
  </cols>
  <sheetData>
    <row r="1" spans="2:16" x14ac:dyDescent="0.25">
      <c r="B1" s="437"/>
      <c r="C1" s="437"/>
      <c r="D1" s="437"/>
      <c r="E1" s="437"/>
      <c r="F1" s="438"/>
      <c r="G1" s="439"/>
      <c r="H1" s="437"/>
      <c r="I1" s="440"/>
      <c r="J1" s="440"/>
      <c r="K1" s="441"/>
      <c r="L1" s="441"/>
      <c r="M1" s="440"/>
      <c r="N1" s="440"/>
      <c r="O1" s="440"/>
      <c r="P1" s="442"/>
    </row>
    <row r="2" spans="2:16" x14ac:dyDescent="0.25">
      <c r="B2" s="376"/>
      <c r="C2" s="338"/>
      <c r="D2" s="265" t="s">
        <v>1</v>
      </c>
      <c r="E2" s="266"/>
      <c r="F2" s="319"/>
      <c r="G2" s="339"/>
      <c r="H2" s="267"/>
      <c r="I2" s="268"/>
      <c r="J2" s="268"/>
      <c r="K2" s="269"/>
      <c r="L2" s="269"/>
      <c r="M2" s="268"/>
      <c r="N2" s="268"/>
      <c r="O2" s="377"/>
      <c r="P2" s="445"/>
    </row>
    <row r="3" spans="2:16" ht="15.75" x14ac:dyDescent="0.25">
      <c r="B3" s="378"/>
      <c r="C3" s="86"/>
      <c r="D3" s="270" t="str">
        <f>DADOS!D8</f>
        <v>PREFEITURA MUNICIPAL DE RIBAS DO RIO PARDO</v>
      </c>
      <c r="E3" s="271"/>
      <c r="F3" s="320"/>
      <c r="G3" s="340"/>
      <c r="H3" s="272"/>
      <c r="I3" s="273"/>
      <c r="J3" s="273"/>
      <c r="K3" s="274"/>
      <c r="L3" s="274"/>
      <c r="M3" s="273"/>
      <c r="N3" s="273"/>
      <c r="O3" s="379"/>
      <c r="P3" s="446"/>
    </row>
    <row r="4" spans="2:16" x14ac:dyDescent="0.2">
      <c r="B4" s="380"/>
      <c r="C4" s="341"/>
      <c r="D4" s="265" t="str">
        <f>IF(C7="NAVIRAÍ - MS","GERENCIA DE PLANEJAMENTO E GESTÃO PÚBLICA","SECRETARIA DE OBRAS")</f>
        <v>SECRETARIA DE OBRAS</v>
      </c>
      <c r="E4" s="266"/>
      <c r="F4" s="342"/>
      <c r="G4" s="339"/>
      <c r="H4" s="267"/>
      <c r="I4" s="268"/>
      <c r="J4" s="268"/>
      <c r="K4" s="269"/>
      <c r="L4" s="269"/>
      <c r="M4" s="268"/>
      <c r="N4" s="268"/>
      <c r="O4" s="377"/>
      <c r="P4" s="445"/>
    </row>
    <row r="5" spans="2:16" ht="18" customHeight="1" x14ac:dyDescent="0.25">
      <c r="B5" s="646" t="s">
        <v>21</v>
      </c>
      <c r="C5" s="647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8"/>
      <c r="P5" s="447"/>
    </row>
    <row r="6" spans="2:16" x14ac:dyDescent="0.25">
      <c r="B6" s="381" t="s">
        <v>63</v>
      </c>
      <c r="C6" s="48" t="str">
        <f>DADOS!D13</f>
        <v>CONSTRUÇÃO DE PONTOS DE ÔNIBUS</v>
      </c>
      <c r="D6" s="276"/>
      <c r="E6" s="276"/>
      <c r="F6" s="343"/>
      <c r="G6" s="38"/>
      <c r="H6" s="38"/>
      <c r="I6" s="66"/>
      <c r="J6" s="66"/>
      <c r="K6" s="344"/>
      <c r="L6" s="277"/>
      <c r="M6" s="641" t="s">
        <v>45</v>
      </c>
      <c r="N6" s="642"/>
      <c r="O6" s="643"/>
      <c r="P6" s="448"/>
    </row>
    <row r="7" spans="2:16" ht="15" customHeight="1" x14ac:dyDescent="0.15">
      <c r="B7" s="381" t="s">
        <v>64</v>
      </c>
      <c r="C7" s="48" t="str">
        <f>DADOS!D10</f>
        <v>RIBAS DO RIO PARDO - MS</v>
      </c>
      <c r="D7" s="276"/>
      <c r="E7" s="276"/>
      <c r="F7" s="343"/>
      <c r="G7" s="38"/>
      <c r="H7" s="38"/>
      <c r="I7" s="66"/>
      <c r="J7" s="66"/>
      <c r="K7" s="344"/>
      <c r="L7" s="344"/>
      <c r="M7" s="635" t="s">
        <v>833</v>
      </c>
      <c r="N7" s="644"/>
      <c r="O7" s="636"/>
      <c r="P7" s="449"/>
    </row>
    <row r="8" spans="2:16" x14ac:dyDescent="0.15">
      <c r="B8" s="382" t="s">
        <v>65</v>
      </c>
      <c r="C8" s="280" t="str">
        <f>DADOS!D9</f>
        <v>RIBAS DO RIO PARDO</v>
      </c>
      <c r="D8" s="281"/>
      <c r="E8" s="281"/>
      <c r="F8" s="345"/>
      <c r="G8" s="282"/>
      <c r="H8" s="282"/>
      <c r="I8" s="283"/>
      <c r="J8" s="283"/>
      <c r="K8" s="346"/>
      <c r="L8" s="284"/>
      <c r="M8" s="635"/>
      <c r="N8" s="644"/>
      <c r="O8" s="636"/>
      <c r="P8" s="449"/>
    </row>
    <row r="9" spans="2:16" x14ac:dyDescent="0.15">
      <c r="B9" s="381" t="s">
        <v>657</v>
      </c>
      <c r="C9" s="285">
        <f>'BDI S DES '!E27</f>
        <v>0.22474058685057496</v>
      </c>
      <c r="D9" s="322" t="s">
        <v>701</v>
      </c>
      <c r="E9" s="533">
        <f>'BDI S DES '!E52</f>
        <v>0.1665303579205224</v>
      </c>
      <c r="F9" s="534">
        <f>'BDI S DES '!E52</f>
        <v>0.1665303579205224</v>
      </c>
      <c r="G9" s="535"/>
      <c r="H9" s="275"/>
      <c r="I9" s="66"/>
      <c r="J9" s="66"/>
      <c r="K9" s="347"/>
      <c r="L9" s="278"/>
      <c r="M9" s="637"/>
      <c r="N9" s="645"/>
      <c r="O9" s="638"/>
      <c r="P9" s="450"/>
    </row>
    <row r="10" spans="2:16" hidden="1" x14ac:dyDescent="0.15">
      <c r="B10" s="381" t="s">
        <v>657</v>
      </c>
      <c r="C10" s="286">
        <f>'BDI S DES'!E26</f>
        <v>0.22474058685057496</v>
      </c>
      <c r="D10" s="275" t="s">
        <v>700</v>
      </c>
      <c r="E10" s="286">
        <f>'BDI S DES'!E50</f>
        <v>0.15278047942916428</v>
      </c>
      <c r="F10" s="341"/>
      <c r="G10" s="282"/>
      <c r="H10" s="279"/>
      <c r="I10" s="283"/>
      <c r="J10" s="283"/>
      <c r="K10" s="341"/>
      <c r="L10" s="284"/>
      <c r="M10" s="284"/>
      <c r="N10" s="403"/>
      <c r="O10" s="402"/>
      <c r="P10" s="451"/>
    </row>
    <row r="11" spans="2:16" x14ac:dyDescent="0.25">
      <c r="B11" s="382" t="s">
        <v>66</v>
      </c>
      <c r="C11" s="287" t="str">
        <f>CONCATENATE( "AGESUL",DADOS!D18,  " SINAPI ",DADOS!D17, " SBC ",DADOS!D16)</f>
        <v>AGESUL(JUNHO/2024) SINAPI (JUNHO/2024 SBC (JUNHO/2024)</v>
      </c>
      <c r="D11" s="288"/>
      <c r="E11" s="288"/>
      <c r="F11" s="321"/>
      <c r="G11" s="289"/>
      <c r="H11" s="341"/>
      <c r="I11" s="290"/>
      <c r="J11" s="290"/>
      <c r="K11" s="639"/>
      <c r="L11" s="639"/>
      <c r="M11" s="639"/>
      <c r="N11" s="291"/>
      <c r="O11" s="436"/>
      <c r="P11" s="452"/>
    </row>
    <row r="12" spans="2:16" ht="30" customHeight="1" x14ac:dyDescent="0.25">
      <c r="B12" s="383" t="s">
        <v>67</v>
      </c>
      <c r="C12" s="292" t="str">
        <f>DADOS!D14</f>
        <v>ENCARGOS SOCIAIS ONERADOS: 106,76%(HORA) 64,39%(MÊS)</v>
      </c>
      <c r="D12" s="293"/>
      <c r="E12" s="293"/>
      <c r="F12" s="348"/>
      <c r="G12" s="536"/>
      <c r="H12" s="537" t="s">
        <v>68</v>
      </c>
      <c r="I12" s="538">
        <f>30*2</f>
        <v>60</v>
      </c>
      <c r="J12" s="538"/>
      <c r="K12" s="539" t="s">
        <v>10</v>
      </c>
      <c r="L12" s="295"/>
      <c r="M12" s="640" t="s">
        <v>68</v>
      </c>
      <c r="N12" s="640"/>
      <c r="O12" s="422" t="str">
        <f>CONCATENATE(30*6," DIAS")</f>
        <v>180 DIAS</v>
      </c>
      <c r="P12" s="453"/>
    </row>
    <row r="13" spans="2:16" ht="21" x14ac:dyDescent="0.25">
      <c r="B13" s="384" t="s">
        <v>43</v>
      </c>
      <c r="C13" s="296" t="s">
        <v>53</v>
      </c>
      <c r="D13" s="296" t="s">
        <v>51</v>
      </c>
      <c r="E13" s="296" t="s">
        <v>198</v>
      </c>
      <c r="F13" s="296" t="s">
        <v>38</v>
      </c>
      <c r="G13" s="296" t="s">
        <v>52</v>
      </c>
      <c r="H13" s="296" t="s">
        <v>39</v>
      </c>
      <c r="I13" s="298" t="s">
        <v>40</v>
      </c>
      <c r="J13" s="298" t="s">
        <v>887</v>
      </c>
      <c r="K13" s="297" t="s">
        <v>627</v>
      </c>
      <c r="L13" s="297" t="s">
        <v>878</v>
      </c>
      <c r="M13" s="298" t="s">
        <v>626</v>
      </c>
      <c r="N13" s="298" t="s">
        <v>879</v>
      </c>
      <c r="O13" s="385" t="s">
        <v>628</v>
      </c>
      <c r="P13" s="454" t="s">
        <v>892</v>
      </c>
    </row>
    <row r="14" spans="2:16" x14ac:dyDescent="0.25">
      <c r="B14" s="468"/>
      <c r="C14" s="469"/>
      <c r="D14" s="469"/>
      <c r="E14" s="469"/>
      <c r="F14" s="469"/>
      <c r="G14" s="358" t="str">
        <f>C6</f>
        <v>CONSTRUÇÃO DE PONTOS DE ÔNIBUS</v>
      </c>
      <c r="H14" s="469"/>
      <c r="I14" s="470"/>
      <c r="J14" s="470"/>
      <c r="K14" s="471"/>
      <c r="L14" s="471"/>
      <c r="M14" s="470"/>
      <c r="N14" s="470"/>
      <c r="O14" s="543">
        <f>O15+O24+O50+O56+O59+O63+O67+O41+O46</f>
        <v>1122599.7100000002</v>
      </c>
      <c r="P14" s="455" t="e">
        <f>SUM(P67+P63+P59+#REF!+#REF!+#REF!+#REF!+#REF!+#REF!+P56+#REF!+#REF!+#REF!+#REF!+#REF!+#REF!+#REF!+#REF!+#REF!+#REF!+#REF!+P24+#REF!+#REF!+P15)</f>
        <v>#REF!</v>
      </c>
    </row>
    <row r="15" spans="2:16" x14ac:dyDescent="0.25">
      <c r="B15" s="423" t="s">
        <v>12</v>
      </c>
      <c r="C15" s="424"/>
      <c r="D15" s="424"/>
      <c r="E15" s="424"/>
      <c r="F15" s="424"/>
      <c r="G15" s="425" t="s">
        <v>4</v>
      </c>
      <c r="H15" s="472"/>
      <c r="I15" s="473"/>
      <c r="J15" s="473"/>
      <c r="K15" s="474"/>
      <c r="L15" s="474"/>
      <c r="M15" s="473"/>
      <c r="N15" s="473"/>
      <c r="O15" s="544">
        <f>SUM(O16:O22)</f>
        <v>134058.96000000002</v>
      </c>
      <c r="P15" s="456">
        <f>SUM(P16:P21)</f>
        <v>6405.92</v>
      </c>
    </row>
    <row r="16" spans="2:16" ht="25.5" x14ac:dyDescent="0.25">
      <c r="B16" s="475" t="s">
        <v>13</v>
      </c>
      <c r="C16" s="476" t="s">
        <v>53</v>
      </c>
      <c r="D16" s="476" t="s">
        <v>54</v>
      </c>
      <c r="E16" s="476" t="str">
        <f>Tabela3[[#This Row],[ITEM]]</f>
        <v>1.1</v>
      </c>
      <c r="F16" s="477">
        <v>103689</v>
      </c>
      <c r="G16" s="267" t="s">
        <v>971</v>
      </c>
      <c r="H16" s="476" t="s">
        <v>44</v>
      </c>
      <c r="I16" s="541">
        <f>VLOOKUP(E16,'MEMORIA DE CALCULO AT'!A:J,9,0)</f>
        <v>8</v>
      </c>
      <c r="J16" s="541">
        <v>1</v>
      </c>
      <c r="K16" s="480">
        <v>310.74</v>
      </c>
      <c r="L16" s="479" t="s">
        <v>897</v>
      </c>
      <c r="M16" s="541">
        <f>TRUNC(K16*(1+$C$9),2)</f>
        <v>380.57</v>
      </c>
      <c r="N16" s="478">
        <f t="shared" ref="N16:N21" si="0">TRUNC(L16*(1+$C$10),2)</f>
        <v>373.11</v>
      </c>
      <c r="O16" s="542">
        <f>TRUNC(Tabela3[[#This Row],[CUSTO UNITÁRIO C/BDI S/ DES]]*I16*Tabela3[[#This Row],[COEFICIENTE DE MULTIPLICAÇÃO]],2)</f>
        <v>3044.56</v>
      </c>
      <c r="P16" s="457">
        <f>TRUNC(Tabela3[[#This Row],[CUSTO UNITÁRIO C/BDI S/ DES2]]*I16,2)</f>
        <v>2984.88</v>
      </c>
    </row>
    <row r="17" spans="2:16" ht="25.5" x14ac:dyDescent="0.25">
      <c r="B17" s="475" t="s">
        <v>14</v>
      </c>
      <c r="C17" s="476" t="s">
        <v>53</v>
      </c>
      <c r="D17" s="476" t="s">
        <v>54</v>
      </c>
      <c r="E17" s="476" t="str">
        <f>Tabela3[[#This Row],[ITEM]]</f>
        <v>1.2</v>
      </c>
      <c r="F17" s="477">
        <v>99059</v>
      </c>
      <c r="G17" s="267" t="s">
        <v>972</v>
      </c>
      <c r="H17" s="476" t="s">
        <v>121</v>
      </c>
      <c r="I17" s="541">
        <f>VLOOKUP(E17,'MEMORIA DE CALCULO AT'!A:J,9,0)</f>
        <v>17.36</v>
      </c>
      <c r="J17" s="541">
        <v>63</v>
      </c>
      <c r="K17" s="480">
        <v>62.56</v>
      </c>
      <c r="L17" s="479" t="s">
        <v>898</v>
      </c>
      <c r="M17" s="541">
        <f t="shared" ref="M17:M21" si="1">TRUNC(K17*(1+$C$9),2)</f>
        <v>76.61</v>
      </c>
      <c r="N17" s="478">
        <f t="shared" si="0"/>
        <v>68.239999999999995</v>
      </c>
      <c r="O17" s="542">
        <f>TRUNC(Tabela3[[#This Row],[CUSTO UNITÁRIO C/BDI S/ DES]]*I17*Tabela3[[#This Row],[COEFICIENTE DE MULTIPLICAÇÃO]],2)</f>
        <v>83786.820000000007</v>
      </c>
      <c r="P17" s="457">
        <f>TRUNC(Tabela3[[#This Row],[CUSTO UNITÁRIO C/BDI S/ DES2]]*I17,2)</f>
        <v>1184.6400000000001</v>
      </c>
    </row>
    <row r="18" spans="2:16" x14ac:dyDescent="0.25">
      <c r="B18" s="475" t="s">
        <v>15</v>
      </c>
      <c r="C18" s="476" t="s">
        <v>53</v>
      </c>
      <c r="D18" s="476" t="s">
        <v>56</v>
      </c>
      <c r="E18" s="476" t="str">
        <f>Tabela3[[#This Row],[ITEM]]</f>
        <v>1.3</v>
      </c>
      <c r="F18" s="477" t="str">
        <f>COMPOSIÇÃO!A11</f>
        <v>CPU02</v>
      </c>
      <c r="G18" s="267" t="s">
        <v>814</v>
      </c>
      <c r="H18" s="476" t="s">
        <v>113</v>
      </c>
      <c r="I18" s="541">
        <f>VLOOKUP(E18,'MEMORIA DE CALCULO AT'!A:J,9,0)</f>
        <v>1</v>
      </c>
      <c r="J18" s="541">
        <v>4</v>
      </c>
      <c r="K18" s="480">
        <v>1468.9500000000003</v>
      </c>
      <c r="L18" s="479">
        <v>1468.9500000000003</v>
      </c>
      <c r="M18" s="541">
        <f t="shared" si="1"/>
        <v>1799.08</v>
      </c>
      <c r="N18" s="478">
        <f t="shared" si="0"/>
        <v>1799.08</v>
      </c>
      <c r="O18" s="542">
        <f>TRUNC(Tabela3[[#This Row],[CUSTO UNITÁRIO C/BDI S/ DES]]*I18*Tabela3[[#This Row],[COEFICIENTE DE MULTIPLICAÇÃO]],2)</f>
        <v>7196.32</v>
      </c>
      <c r="P18" s="457">
        <f>TRUNC(Tabela3[[#This Row],[CUSTO UNITÁRIO C/BDI S/ DES2]]*I18,2)</f>
        <v>1799.08</v>
      </c>
    </row>
    <row r="19" spans="2:16" x14ac:dyDescent="0.25">
      <c r="B19" s="475" t="s">
        <v>16</v>
      </c>
      <c r="C19" s="476" t="s">
        <v>53</v>
      </c>
      <c r="D19" s="476" t="s">
        <v>97</v>
      </c>
      <c r="E19" s="476" t="str">
        <f>Tabela3[[#This Row],[ITEM]]</f>
        <v>1.4</v>
      </c>
      <c r="F19" s="477">
        <v>12205</v>
      </c>
      <c r="G19" s="267" t="s">
        <v>831</v>
      </c>
      <c r="H19" s="476" t="s">
        <v>113</v>
      </c>
      <c r="I19" s="541">
        <f>VLOOKUP(E19,'MEMORIA DE CALCULO AT'!A:J,9,0)</f>
        <v>1</v>
      </c>
      <c r="J19" s="541">
        <v>4</v>
      </c>
      <c r="K19" s="480">
        <v>918.28</v>
      </c>
      <c r="L19" s="479">
        <v>0</v>
      </c>
      <c r="M19" s="541">
        <f t="shared" ref="M19" si="2">TRUNC(K19*(1+$C$9),2)</f>
        <v>1124.6500000000001</v>
      </c>
      <c r="N19" s="478">
        <f t="shared" si="0"/>
        <v>0</v>
      </c>
      <c r="O19" s="542">
        <f>TRUNC(Tabela3[[#This Row],[CUSTO UNITÁRIO C/BDI S/ DES]]*I19*Tabela3[[#This Row],[COEFICIENTE DE MULTIPLICAÇÃO]],2)</f>
        <v>4498.6000000000004</v>
      </c>
      <c r="P19" s="457">
        <f>TRUNC(Tabela3[[#This Row],[CUSTO UNITÁRIO C/BDI S/ DES2]]*I19,2)</f>
        <v>0</v>
      </c>
    </row>
    <row r="20" spans="2:16" ht="25.5" x14ac:dyDescent="0.25">
      <c r="B20" s="475" t="s">
        <v>48</v>
      </c>
      <c r="C20" s="476" t="s">
        <v>53</v>
      </c>
      <c r="D20" s="476" t="s">
        <v>54</v>
      </c>
      <c r="E20" s="476" t="str">
        <f>Tabela3[[#This Row],[ITEM]]</f>
        <v>1.5</v>
      </c>
      <c r="F20" s="477">
        <v>98524</v>
      </c>
      <c r="G20" s="267" t="s">
        <v>973</v>
      </c>
      <c r="H20" s="476" t="s">
        <v>44</v>
      </c>
      <c r="I20" s="541">
        <f>VLOOKUP(E20,'MEMORIA DE CALCULO AT'!A:J,9,0)</f>
        <v>16.762</v>
      </c>
      <c r="J20" s="541">
        <f>J17</f>
        <v>63</v>
      </c>
      <c r="K20" s="480">
        <v>4.46</v>
      </c>
      <c r="L20" s="479" t="s">
        <v>899</v>
      </c>
      <c r="M20" s="541">
        <f t="shared" si="1"/>
        <v>5.46</v>
      </c>
      <c r="N20" s="478">
        <f t="shared" si="0"/>
        <v>3.44</v>
      </c>
      <c r="O20" s="542">
        <f>TRUNC(Tabela3[[#This Row],[CUSTO UNITÁRIO C/BDI S/ DES]]*I20*Tabela3[[#This Row],[COEFICIENTE DE MULTIPLICAÇÃO]],2)</f>
        <v>5765.79</v>
      </c>
      <c r="P20" s="457">
        <f>TRUNC(Tabela3[[#This Row],[CUSTO UNITÁRIO C/BDI S/ DES2]]*I20,2)</f>
        <v>57.66</v>
      </c>
    </row>
    <row r="21" spans="2:16" x14ac:dyDescent="0.25">
      <c r="B21" s="475" t="s">
        <v>49</v>
      </c>
      <c r="C21" s="476" t="s">
        <v>53</v>
      </c>
      <c r="D21" s="476" t="s">
        <v>55</v>
      </c>
      <c r="E21" s="476" t="str">
        <f>Tabela3[[#This Row],[ITEM]]</f>
        <v>1.6</v>
      </c>
      <c r="F21" s="477">
        <v>201002161</v>
      </c>
      <c r="G21" s="267" t="s">
        <v>970</v>
      </c>
      <c r="H21" s="476" t="s">
        <v>113</v>
      </c>
      <c r="I21" s="541">
        <f>VLOOKUP(E21,'MEMORIA DE CALCULO AT'!A:J,9,0)</f>
        <v>1</v>
      </c>
      <c r="J21" s="541">
        <f>J17</f>
        <v>63</v>
      </c>
      <c r="K21" s="480">
        <v>350</v>
      </c>
      <c r="L21" s="479">
        <v>310</v>
      </c>
      <c r="M21" s="541">
        <f t="shared" si="1"/>
        <v>428.65</v>
      </c>
      <c r="N21" s="478">
        <f t="shared" si="0"/>
        <v>379.66</v>
      </c>
      <c r="O21" s="542">
        <f>TRUNC(Tabela3[[#This Row],[CUSTO UNITÁRIO C/BDI S/ DES]]*I21*Tabela3[[#This Row],[COEFICIENTE DE MULTIPLICAÇÃO]],2)</f>
        <v>27004.95</v>
      </c>
      <c r="P21" s="457">
        <f>TRUNC(Tabela3[[#This Row],[CUSTO UNITÁRIO C/BDI S/ DES2]]*I21,2)</f>
        <v>379.66</v>
      </c>
    </row>
    <row r="22" spans="2:16" ht="38.25" x14ac:dyDescent="0.25">
      <c r="B22" s="475" t="s">
        <v>50</v>
      </c>
      <c r="C22" s="476" t="s">
        <v>53</v>
      </c>
      <c r="D22" s="476" t="s">
        <v>54</v>
      </c>
      <c r="E22" s="476" t="str">
        <f>Tabela3[[#This Row],[ITEM]]</f>
        <v>1.7</v>
      </c>
      <c r="F22" s="477">
        <v>100983</v>
      </c>
      <c r="G22" s="267" t="s">
        <v>974</v>
      </c>
      <c r="H22" s="476" t="s">
        <v>946</v>
      </c>
      <c r="I22" s="541">
        <f>VLOOKUP(E22,'MEMORIA DE CALCULO AT'!A:J,8,0)</f>
        <v>4</v>
      </c>
      <c r="J22" s="541">
        <f>J17</f>
        <v>63</v>
      </c>
      <c r="K22" s="480">
        <v>8.9499999999999993</v>
      </c>
      <c r="L22" s="479" t="s">
        <v>900</v>
      </c>
      <c r="M22" s="541">
        <f t="shared" ref="M22" si="3">TRUNC(K22*(1+$C$9),2)</f>
        <v>10.96</v>
      </c>
      <c r="N22" s="478">
        <f t="shared" ref="N22" si="4">TRUNC(L22*(1+$C$10),2)</f>
        <v>9.9600000000000009</v>
      </c>
      <c r="O22" s="542">
        <f>TRUNC(Tabela3[[#This Row],[CUSTO UNITÁRIO C/BDI S/ DES]]*I22*Tabela3[[#This Row],[COEFICIENTE DE MULTIPLICAÇÃO]],2)</f>
        <v>2761.92</v>
      </c>
      <c r="P22" s="457">
        <f>TRUNC(Tabela3[[#This Row],[CUSTO UNITÁRIO C/BDI S/ DES2]]*I22,2)</f>
        <v>39.840000000000003</v>
      </c>
    </row>
    <row r="23" spans="2:16" x14ac:dyDescent="0.25">
      <c r="B23" s="481"/>
      <c r="C23" s="482"/>
      <c r="D23" s="482"/>
      <c r="E23" s="482"/>
      <c r="F23" s="483"/>
      <c r="G23" s="484"/>
      <c r="H23" s="444"/>
      <c r="I23" s="485"/>
      <c r="J23" s="485"/>
      <c r="K23" s="486"/>
      <c r="L23" s="486"/>
      <c r="M23" s="485"/>
      <c r="N23" s="485"/>
      <c r="O23" s="545"/>
      <c r="P23" s="458"/>
    </row>
    <row r="24" spans="2:16" x14ac:dyDescent="0.25">
      <c r="B24" s="426" t="s">
        <v>11</v>
      </c>
      <c r="C24" s="60"/>
      <c r="D24" s="60"/>
      <c r="E24" s="60"/>
      <c r="F24" s="60"/>
      <c r="G24" s="61" t="s">
        <v>243</v>
      </c>
      <c r="H24" s="522"/>
      <c r="I24" s="523"/>
      <c r="J24" s="523"/>
      <c r="K24" s="524"/>
      <c r="L24" s="524"/>
      <c r="M24" s="523"/>
      <c r="N24" s="523"/>
      <c r="O24" s="546">
        <f>SUM(O25:O39)/3</f>
        <v>273439.64000000007</v>
      </c>
      <c r="P24" s="459">
        <f>SUM(P25:P27)/3</f>
        <v>890.73</v>
      </c>
    </row>
    <row r="25" spans="2:16" x14ac:dyDescent="0.25">
      <c r="B25" s="427" t="s">
        <v>17</v>
      </c>
      <c r="C25" s="329"/>
      <c r="D25" s="329"/>
      <c r="E25" s="329"/>
      <c r="F25" s="329"/>
      <c r="G25" s="330" t="s">
        <v>114</v>
      </c>
      <c r="H25" s="525"/>
      <c r="I25" s="526"/>
      <c r="J25" s="526"/>
      <c r="K25" s="527"/>
      <c r="L25" s="527"/>
      <c r="M25" s="526"/>
      <c r="N25" s="526"/>
      <c r="O25" s="547">
        <f>SUM(O26:O39)/2</f>
        <v>273439.64</v>
      </c>
      <c r="P25" s="460">
        <f>SUM(P26:P27)/2</f>
        <v>890.73</v>
      </c>
    </row>
    <row r="26" spans="2:16" x14ac:dyDescent="0.25">
      <c r="B26" s="428" t="s">
        <v>828</v>
      </c>
      <c r="C26" s="63"/>
      <c r="D26" s="63"/>
      <c r="E26" s="63"/>
      <c r="F26" s="63"/>
      <c r="G26" s="64" t="s">
        <v>769</v>
      </c>
      <c r="H26" s="519"/>
      <c r="I26" s="520"/>
      <c r="J26" s="520"/>
      <c r="K26" s="521"/>
      <c r="L26" s="521"/>
      <c r="M26" s="520"/>
      <c r="N26" s="520"/>
      <c r="O26" s="548">
        <f>SUM(O27:O29)</f>
        <v>71360.36</v>
      </c>
      <c r="P26" s="461">
        <f>SUM(P27:P27)</f>
        <v>890.73</v>
      </c>
    </row>
    <row r="27" spans="2:16" ht="38.25" x14ac:dyDescent="0.25">
      <c r="B27" s="475" t="s">
        <v>829</v>
      </c>
      <c r="C27" s="476" t="s">
        <v>53</v>
      </c>
      <c r="D27" s="476" t="s">
        <v>54</v>
      </c>
      <c r="E27" s="476" t="str">
        <f>Tabela3[[#This Row],[ITEM]]</f>
        <v>2.1.1.1</v>
      </c>
      <c r="F27" s="421">
        <v>101174</v>
      </c>
      <c r="G27" s="267" t="s">
        <v>944</v>
      </c>
      <c r="H27" s="476" t="s">
        <v>121</v>
      </c>
      <c r="I27" s="541">
        <f>VLOOKUP(E27,'MEMORIA DE CALCULO AT'!A:J,9,0)</f>
        <v>9</v>
      </c>
      <c r="J27" s="541">
        <f>J17</f>
        <v>63</v>
      </c>
      <c r="K27" s="480">
        <v>83.13</v>
      </c>
      <c r="L27" s="479" t="s">
        <v>901</v>
      </c>
      <c r="M27" s="541">
        <f t="shared" ref="M27" si="5">TRUNC(K27*(1+$C$9),2)</f>
        <v>101.81</v>
      </c>
      <c r="N27" s="478">
        <f t="shared" ref="N27" si="6">TRUNC(L27*(1+$C$10),2)</f>
        <v>98.97</v>
      </c>
      <c r="O27" s="542">
        <f>TRUNC(Tabela3[[#This Row],[CUSTO UNITÁRIO C/BDI S/ DES]]*I27*Tabela3[[#This Row],[COEFICIENTE DE MULTIPLICAÇÃO]],2)</f>
        <v>57726.27</v>
      </c>
      <c r="P27" s="457">
        <f>TRUNC(Tabela3[[#This Row],[CUSTO UNITÁRIO C/BDI S/ DES2]]*I27,2)</f>
        <v>890.73</v>
      </c>
    </row>
    <row r="28" spans="2:16" ht="25.5" x14ac:dyDescent="0.25">
      <c r="B28" s="475" t="s">
        <v>834</v>
      </c>
      <c r="C28" s="476" t="s">
        <v>53</v>
      </c>
      <c r="D28" s="476" t="s">
        <v>54</v>
      </c>
      <c r="E28" s="476" t="str">
        <f>Tabela3[[#This Row],[ITEM]]</f>
        <v>2.1.1.2</v>
      </c>
      <c r="F28" s="421">
        <v>103670</v>
      </c>
      <c r="G28" s="267" t="s">
        <v>945</v>
      </c>
      <c r="H28" s="476" t="s">
        <v>946</v>
      </c>
      <c r="I28" s="541">
        <f>VLOOKUP(E28,'MEMORIA DE CALCULO AT'!A:J,9,0)</f>
        <v>0.44178646691106466</v>
      </c>
      <c r="J28" s="541">
        <f>J27</f>
        <v>63</v>
      </c>
      <c r="K28" s="480">
        <v>284.04000000000002</v>
      </c>
      <c r="L28" s="479" t="s">
        <v>902</v>
      </c>
      <c r="M28" s="541">
        <f t="shared" ref="M28:M29" si="7">TRUNC(K28*(1+$C$9),2)</f>
        <v>347.87</v>
      </c>
      <c r="N28" s="478">
        <f t="shared" ref="N28:N29" si="8">TRUNC(L28*(1+$C$10),2)</f>
        <v>315.17</v>
      </c>
      <c r="O28" s="542">
        <f>TRUNC(Tabela3[[#This Row],[CUSTO UNITÁRIO C/BDI S/ DES]]*I28*Tabela3[[#This Row],[COEFICIENTE DE MULTIPLICAÇÃO]],2)</f>
        <v>9682.1</v>
      </c>
      <c r="P28" s="457"/>
    </row>
    <row r="29" spans="2:16" ht="25.5" x14ac:dyDescent="0.25">
      <c r="B29" s="475" t="s">
        <v>835</v>
      </c>
      <c r="C29" s="476" t="s">
        <v>53</v>
      </c>
      <c r="D29" s="476" t="s">
        <v>54</v>
      </c>
      <c r="E29" s="476" t="str">
        <f>Tabela3[[#This Row],[ITEM]]</f>
        <v>2.1.1.3</v>
      </c>
      <c r="F29" s="421">
        <v>95601</v>
      </c>
      <c r="G29" s="267" t="s">
        <v>947</v>
      </c>
      <c r="H29" s="476" t="s">
        <v>113</v>
      </c>
      <c r="I29" s="541">
        <f>VLOOKUP(E29,'MEMORIA DE CALCULO AT'!A:J,9,0)</f>
        <v>3</v>
      </c>
      <c r="J29" s="541">
        <f>J27</f>
        <v>63</v>
      </c>
      <c r="K29" s="480">
        <v>17.079999999999998</v>
      </c>
      <c r="L29" s="479" t="s">
        <v>903</v>
      </c>
      <c r="M29" s="541">
        <f t="shared" si="7"/>
        <v>20.91</v>
      </c>
      <c r="N29" s="478">
        <f t="shared" si="8"/>
        <v>21.62</v>
      </c>
      <c r="O29" s="542">
        <f>TRUNC(Tabela3[[#This Row],[CUSTO UNITÁRIO C/BDI S/ DES]]*I29*Tabela3[[#This Row],[COEFICIENTE DE MULTIPLICAÇÃO]],2)</f>
        <v>3951.99</v>
      </c>
      <c r="P29" s="457"/>
    </row>
    <row r="30" spans="2:16" x14ac:dyDescent="0.25">
      <c r="B30" s="428" t="s">
        <v>852</v>
      </c>
      <c r="C30" s="63"/>
      <c r="D30" s="63"/>
      <c r="E30" s="63"/>
      <c r="F30" s="63"/>
      <c r="G30" s="64" t="s">
        <v>856</v>
      </c>
      <c r="H30" s="519"/>
      <c r="I30" s="520"/>
      <c r="J30" s="520"/>
      <c r="K30" s="521"/>
      <c r="L30" s="521"/>
      <c r="M30" s="520"/>
      <c r="N30" s="520"/>
      <c r="O30" s="548">
        <f>SUM(O31:O39)</f>
        <v>202079.28</v>
      </c>
      <c r="P30" s="457"/>
    </row>
    <row r="31" spans="2:16" ht="25.5" x14ac:dyDescent="0.25">
      <c r="B31" s="475" t="s">
        <v>853</v>
      </c>
      <c r="C31" s="476" t="s">
        <v>53</v>
      </c>
      <c r="D31" s="476" t="s">
        <v>54</v>
      </c>
      <c r="E31" s="476" t="str">
        <f>Tabela3[[#This Row],[ITEM]]</f>
        <v>2.1.2.1</v>
      </c>
      <c r="F31" s="477">
        <v>96523</v>
      </c>
      <c r="G31" s="267" t="s">
        <v>948</v>
      </c>
      <c r="H31" s="476" t="s">
        <v>946</v>
      </c>
      <c r="I31" s="541">
        <f>VLOOKUP(E31,'MEMORIA DE CALCULO AT'!A:J,9,0)</f>
        <v>1.6</v>
      </c>
      <c r="J31" s="541">
        <f>J27</f>
        <v>63</v>
      </c>
      <c r="K31" s="480">
        <v>90.67</v>
      </c>
      <c r="L31" s="479" t="s">
        <v>904</v>
      </c>
      <c r="M31" s="541">
        <f t="shared" ref="M31" si="9">TRUNC(K31*(1+$C$9),2)</f>
        <v>111.04</v>
      </c>
      <c r="N31" s="478">
        <f t="shared" ref="N31" si="10">TRUNC(L31*(1+$C$10),2)</f>
        <v>105.25</v>
      </c>
      <c r="O31" s="542">
        <f>TRUNC(Tabela3[[#This Row],[CUSTO UNITÁRIO C/BDI S/ DES]]*I31*Tabela3[[#This Row],[COEFICIENTE DE MULTIPLICAÇÃO]],2)</f>
        <v>11192.83</v>
      </c>
      <c r="P31" s="457"/>
    </row>
    <row r="32" spans="2:16" ht="25.5" x14ac:dyDescent="0.25">
      <c r="B32" s="475" t="s">
        <v>854</v>
      </c>
      <c r="C32" s="476" t="s">
        <v>53</v>
      </c>
      <c r="D32" s="476" t="s">
        <v>54</v>
      </c>
      <c r="E32" s="476" t="str">
        <f>Tabela3[[#This Row],[ITEM]]</f>
        <v>2.1.2.2</v>
      </c>
      <c r="F32" s="421">
        <v>96617</v>
      </c>
      <c r="G32" s="267" t="s">
        <v>949</v>
      </c>
      <c r="H32" s="476" t="s">
        <v>44</v>
      </c>
      <c r="I32" s="541">
        <f>VLOOKUP(E32,'MEMORIA DE CALCULO AT'!A:J,9,0)</f>
        <v>1.2</v>
      </c>
      <c r="J32" s="541">
        <f>$J$27</f>
        <v>63</v>
      </c>
      <c r="K32" s="480">
        <v>18.68</v>
      </c>
      <c r="L32" s="479" t="s">
        <v>905</v>
      </c>
      <c r="M32" s="541">
        <f t="shared" ref="M32:M39" si="11">TRUNC(K32*(1+$C$9),2)</f>
        <v>22.87</v>
      </c>
      <c r="N32" s="478">
        <f t="shared" ref="N32:N39" si="12">TRUNC(L32*(1+$C$10),2)</f>
        <v>22.25</v>
      </c>
      <c r="O32" s="542">
        <f>TRUNC(Tabela3[[#This Row],[CUSTO UNITÁRIO C/BDI S/ DES]]*I32*Tabela3[[#This Row],[COEFICIENTE DE MULTIPLICAÇÃO]],2)</f>
        <v>1728.97</v>
      </c>
      <c r="P32" s="457"/>
    </row>
    <row r="33" spans="2:16" ht="38.25" x14ac:dyDescent="0.25">
      <c r="B33" s="475" t="s">
        <v>855</v>
      </c>
      <c r="C33" s="476" t="s">
        <v>53</v>
      </c>
      <c r="D33" s="476" t="s">
        <v>54</v>
      </c>
      <c r="E33" s="476" t="str">
        <f>Tabela3[[#This Row],[ITEM]]</f>
        <v>2.1.2.3</v>
      </c>
      <c r="F33" s="421">
        <v>96540</v>
      </c>
      <c r="G33" s="267" t="s">
        <v>950</v>
      </c>
      <c r="H33" s="476" t="s">
        <v>44</v>
      </c>
      <c r="I33" s="541">
        <f>VLOOKUP(E33,'MEMORIA DE CALCULO AT'!A:J,9,0)</f>
        <v>2.8</v>
      </c>
      <c r="J33" s="541">
        <f t="shared" ref="J33:J39" si="13">$J$27</f>
        <v>63</v>
      </c>
      <c r="K33" s="480">
        <v>124.03</v>
      </c>
      <c r="L33" s="479" t="s">
        <v>906</v>
      </c>
      <c r="M33" s="541">
        <f t="shared" si="11"/>
        <v>151.9</v>
      </c>
      <c r="N33" s="478">
        <f t="shared" si="12"/>
        <v>157.08000000000001</v>
      </c>
      <c r="O33" s="542">
        <f>TRUNC(Tabela3[[#This Row],[CUSTO UNITÁRIO C/BDI S/ DES]]*I33*Tabela3[[#This Row],[COEFICIENTE DE MULTIPLICAÇÃO]],2)</f>
        <v>26795.16</v>
      </c>
      <c r="P33" s="457"/>
    </row>
    <row r="34" spans="2:16" ht="25.5" x14ac:dyDescent="0.25">
      <c r="B34" s="475" t="s">
        <v>857</v>
      </c>
      <c r="C34" s="476" t="s">
        <v>53</v>
      </c>
      <c r="D34" s="476" t="s">
        <v>54</v>
      </c>
      <c r="E34" s="476" t="str">
        <f>Tabela3[[#This Row],[ITEM]]</f>
        <v>2.1.2.4</v>
      </c>
      <c r="F34" s="421">
        <v>96543</v>
      </c>
      <c r="G34" s="267" t="s">
        <v>951</v>
      </c>
      <c r="H34" s="476" t="s">
        <v>144</v>
      </c>
      <c r="I34" s="541">
        <f>VLOOKUP(E34,'MEMORIA DE CALCULO AT'!A:J,9,0)</f>
        <v>19.2</v>
      </c>
      <c r="J34" s="541">
        <f t="shared" si="13"/>
        <v>63</v>
      </c>
      <c r="K34" s="480">
        <v>19.84</v>
      </c>
      <c r="L34" s="479" t="s">
        <v>907</v>
      </c>
      <c r="M34" s="541">
        <f t="shared" si="11"/>
        <v>24.29</v>
      </c>
      <c r="N34" s="478">
        <f t="shared" si="12"/>
        <v>21.83</v>
      </c>
      <c r="O34" s="542">
        <f>TRUNC(Tabela3[[#This Row],[CUSTO UNITÁRIO C/BDI S/ DES]]*I34*Tabela3[[#This Row],[COEFICIENTE DE MULTIPLICAÇÃO]],2)</f>
        <v>29381.18</v>
      </c>
      <c r="P34" s="457"/>
    </row>
    <row r="35" spans="2:16" ht="25.5" x14ac:dyDescent="0.25">
      <c r="B35" s="475" t="s">
        <v>858</v>
      </c>
      <c r="C35" s="476" t="s">
        <v>53</v>
      </c>
      <c r="D35" s="476" t="s">
        <v>54</v>
      </c>
      <c r="E35" s="476" t="str">
        <f>Tabela3[[#This Row],[ITEM]]</f>
        <v>2.1.2.5</v>
      </c>
      <c r="F35" s="421">
        <v>96545</v>
      </c>
      <c r="G35" s="267" t="s">
        <v>952</v>
      </c>
      <c r="H35" s="476" t="s">
        <v>144</v>
      </c>
      <c r="I35" s="541">
        <f>VLOOKUP(E35,'MEMORIA DE CALCULO AT'!A:J,9,0)</f>
        <v>46.800000000000004</v>
      </c>
      <c r="J35" s="541">
        <f t="shared" si="13"/>
        <v>63</v>
      </c>
      <c r="K35" s="480">
        <v>16.43</v>
      </c>
      <c r="L35" s="479" t="s">
        <v>908</v>
      </c>
      <c r="M35" s="541">
        <f t="shared" si="11"/>
        <v>20.12</v>
      </c>
      <c r="N35" s="478">
        <f t="shared" si="12"/>
        <v>19.16</v>
      </c>
      <c r="O35" s="542">
        <f>TRUNC(Tabela3[[#This Row],[CUSTO UNITÁRIO C/BDI S/ DES]]*I35*Tabela3[[#This Row],[COEFICIENTE DE MULTIPLICAÇÃO]],2)</f>
        <v>59321.8</v>
      </c>
      <c r="P35" s="457"/>
    </row>
    <row r="36" spans="2:16" ht="38.25" x14ac:dyDescent="0.25">
      <c r="B36" s="475" t="s">
        <v>859</v>
      </c>
      <c r="C36" s="476" t="s">
        <v>53</v>
      </c>
      <c r="D36" s="476" t="s">
        <v>54</v>
      </c>
      <c r="E36" s="476" t="str">
        <f>Tabela3[[#This Row],[ITEM]]</f>
        <v>2.1.2.6</v>
      </c>
      <c r="F36" s="421">
        <v>94965</v>
      </c>
      <c r="G36" s="267" t="s">
        <v>953</v>
      </c>
      <c r="H36" s="476" t="s">
        <v>946</v>
      </c>
      <c r="I36" s="541">
        <f>VLOOKUP(E36,'MEMORIA DE CALCULO AT'!A:J,9,0)</f>
        <v>1</v>
      </c>
      <c r="J36" s="541">
        <f t="shared" si="13"/>
        <v>63</v>
      </c>
      <c r="K36" s="480">
        <v>484.2</v>
      </c>
      <c r="L36" s="479" t="s">
        <v>909</v>
      </c>
      <c r="M36" s="541">
        <f t="shared" si="11"/>
        <v>593.01</v>
      </c>
      <c r="N36" s="478">
        <f t="shared" si="12"/>
        <v>605.02</v>
      </c>
      <c r="O36" s="542">
        <f>TRUNC(Tabela3[[#This Row],[CUSTO UNITÁRIO C/BDI S/ DES]]*I36*Tabela3[[#This Row],[COEFICIENTE DE MULTIPLICAÇÃO]],2)</f>
        <v>37359.629999999997</v>
      </c>
      <c r="P36" s="457"/>
    </row>
    <row r="37" spans="2:16" ht="25.5" x14ac:dyDescent="0.25">
      <c r="B37" s="475" t="s">
        <v>860</v>
      </c>
      <c r="C37" s="476" t="s">
        <v>53</v>
      </c>
      <c r="D37" s="476" t="s">
        <v>54</v>
      </c>
      <c r="E37" s="476" t="str">
        <f>Tabela3[[#This Row],[ITEM]]</f>
        <v>2.1.2.7</v>
      </c>
      <c r="F37" s="477">
        <v>103670</v>
      </c>
      <c r="G37" s="267" t="s">
        <v>945</v>
      </c>
      <c r="H37" s="476" t="s">
        <v>946</v>
      </c>
      <c r="I37" s="541">
        <f>VLOOKUP(E37,'MEMORIA DE CALCULO AT'!A:J,9,0)</f>
        <v>1</v>
      </c>
      <c r="J37" s="541">
        <f t="shared" si="13"/>
        <v>63</v>
      </c>
      <c r="K37" s="480">
        <v>284.04000000000002</v>
      </c>
      <c r="L37" s="479" t="s">
        <v>902</v>
      </c>
      <c r="M37" s="541">
        <f t="shared" si="11"/>
        <v>347.87</v>
      </c>
      <c r="N37" s="478">
        <f t="shared" si="12"/>
        <v>315.17</v>
      </c>
      <c r="O37" s="542">
        <f>TRUNC(Tabela3[[#This Row],[CUSTO UNITÁRIO C/BDI S/ DES]]*I37*Tabela3[[#This Row],[COEFICIENTE DE MULTIPLICAÇÃO]],2)</f>
        <v>21915.81</v>
      </c>
      <c r="P37" s="457"/>
    </row>
    <row r="38" spans="2:16" ht="25.5" x14ac:dyDescent="0.25">
      <c r="B38" s="475" t="s">
        <v>861</v>
      </c>
      <c r="C38" s="476" t="s">
        <v>53</v>
      </c>
      <c r="D38" s="476" t="s">
        <v>54</v>
      </c>
      <c r="E38" s="476" t="str">
        <f>Tabela3[[#This Row],[ITEM]]</f>
        <v>2.1.2.8</v>
      </c>
      <c r="F38" s="421">
        <v>98557</v>
      </c>
      <c r="G38" s="267" t="s">
        <v>954</v>
      </c>
      <c r="H38" s="476" t="s">
        <v>44</v>
      </c>
      <c r="I38" s="541">
        <f>VLOOKUP(E38,'MEMORIA DE CALCULO AT'!A:J,9,0)</f>
        <v>2.8</v>
      </c>
      <c r="J38" s="541">
        <f t="shared" si="13"/>
        <v>63</v>
      </c>
      <c r="K38" s="480">
        <v>61.2</v>
      </c>
      <c r="L38" s="479" t="s">
        <v>910</v>
      </c>
      <c r="M38" s="541">
        <f t="shared" si="11"/>
        <v>74.95</v>
      </c>
      <c r="N38" s="478">
        <f t="shared" si="12"/>
        <v>57.67</v>
      </c>
      <c r="O38" s="542">
        <f>TRUNC(Tabela3[[#This Row],[CUSTO UNITÁRIO C/BDI S/ DES]]*I38*Tabela3[[#This Row],[COEFICIENTE DE MULTIPLICAÇÃO]],2)</f>
        <v>13221.18</v>
      </c>
      <c r="P38" s="457"/>
    </row>
    <row r="39" spans="2:16" ht="25.5" x14ac:dyDescent="0.25">
      <c r="B39" s="475" t="s">
        <v>862</v>
      </c>
      <c r="C39" s="476" t="s">
        <v>53</v>
      </c>
      <c r="D39" s="476" t="s">
        <v>54</v>
      </c>
      <c r="E39" s="476" t="str">
        <f>Tabela3[[#This Row],[ITEM]]</f>
        <v>2.1.2.9</v>
      </c>
      <c r="F39" s="421">
        <v>93382</v>
      </c>
      <c r="G39" s="267" t="s">
        <v>955</v>
      </c>
      <c r="H39" s="476" t="s">
        <v>946</v>
      </c>
      <c r="I39" s="541">
        <f>VLOOKUP(E39,'MEMORIA DE CALCULO AT'!A:J,9,0)</f>
        <v>0.60000000000000009</v>
      </c>
      <c r="J39" s="541">
        <f t="shared" si="13"/>
        <v>63</v>
      </c>
      <c r="K39" s="480">
        <v>25.12</v>
      </c>
      <c r="L39" s="479" t="s">
        <v>911</v>
      </c>
      <c r="M39" s="541">
        <f t="shared" si="11"/>
        <v>30.76</v>
      </c>
      <c r="N39" s="478">
        <f t="shared" si="12"/>
        <v>37.17</v>
      </c>
      <c r="O39" s="542">
        <f>TRUNC(Tabela3[[#This Row],[CUSTO UNITÁRIO C/BDI S/ DES]]*I39*Tabela3[[#This Row],[COEFICIENTE DE MULTIPLICAÇÃO]],2)</f>
        <v>1162.72</v>
      </c>
      <c r="P39" s="457"/>
    </row>
    <row r="40" spans="2:16" x14ac:dyDescent="0.25">
      <c r="B40" s="475"/>
      <c r="C40" s="476"/>
      <c r="D40" s="476"/>
      <c r="E40" s="476"/>
      <c r="F40" s="421"/>
      <c r="G40" s="267"/>
      <c r="H40" s="476"/>
      <c r="I40" s="478"/>
      <c r="J40" s="478"/>
      <c r="K40" s="480"/>
      <c r="L40" s="479"/>
      <c r="M40" s="478"/>
      <c r="N40" s="478"/>
      <c r="O40" s="549"/>
      <c r="P40" s="457"/>
    </row>
    <row r="41" spans="2:16" x14ac:dyDescent="0.25">
      <c r="B41" s="426" t="s">
        <v>18</v>
      </c>
      <c r="C41" s="60"/>
      <c r="D41" s="60"/>
      <c r="E41" s="60"/>
      <c r="F41" s="60"/>
      <c r="G41" s="61" t="s">
        <v>870</v>
      </c>
      <c r="H41" s="522"/>
      <c r="I41" s="523"/>
      <c r="J41" s="523"/>
      <c r="K41" s="524"/>
      <c r="L41" s="524"/>
      <c r="M41" s="523"/>
      <c r="N41" s="523"/>
      <c r="O41" s="546">
        <f>SUM(O42:O45)</f>
        <v>284233.42</v>
      </c>
      <c r="P41" s="457"/>
    </row>
    <row r="42" spans="2:16" ht="51" x14ac:dyDescent="0.25">
      <c r="B42" s="475" t="s">
        <v>19</v>
      </c>
      <c r="C42" s="476" t="s">
        <v>53</v>
      </c>
      <c r="D42" s="476" t="s">
        <v>55</v>
      </c>
      <c r="E42" s="476" t="str">
        <f>Tabela3[[#This Row],[ITEM]]</f>
        <v>3.1</v>
      </c>
      <c r="F42" s="477">
        <v>901000135</v>
      </c>
      <c r="G42" s="267" t="s">
        <v>956</v>
      </c>
      <c r="H42" s="476" t="s">
        <v>144</v>
      </c>
      <c r="I42" s="541">
        <f>VLOOKUP(E42,'MEMORIA DE CALCULO AT'!A:J,8,0)</f>
        <v>44.309999999999995</v>
      </c>
      <c r="J42" s="541">
        <f t="shared" ref="J42:J44" si="14">$J$27</f>
        <v>63</v>
      </c>
      <c r="K42" s="480">
        <v>23.67</v>
      </c>
      <c r="L42" s="479">
        <v>25.13</v>
      </c>
      <c r="M42" s="541">
        <f t="shared" ref="M42" si="15">TRUNC(K42*(1+$C$9),2)</f>
        <v>28.98</v>
      </c>
      <c r="N42" s="478">
        <f>TRUNC(L42*(1+$C$10),2)</f>
        <v>30.77</v>
      </c>
      <c r="O42" s="542">
        <f>TRUNC(Tabela3[[#This Row],[CUSTO UNITÁRIO C/BDI S/ DES]]*I42*Tabela3[[#This Row],[COEFICIENTE DE MULTIPLICAÇÃO]],2)</f>
        <v>80898.53</v>
      </c>
      <c r="P42" s="457"/>
    </row>
    <row r="43" spans="2:16" ht="36" customHeight="1" x14ac:dyDescent="0.25">
      <c r="B43" s="475" t="s">
        <v>873</v>
      </c>
      <c r="C43" s="476" t="s">
        <v>53</v>
      </c>
      <c r="D43" s="476" t="s">
        <v>55</v>
      </c>
      <c r="E43" s="476" t="str">
        <f>Tabela3[[#This Row],[ITEM]]</f>
        <v>3.2</v>
      </c>
      <c r="F43" s="477">
        <v>100774</v>
      </c>
      <c r="G43" s="267" t="s">
        <v>957</v>
      </c>
      <c r="H43" s="476" t="s">
        <v>144</v>
      </c>
      <c r="I43" s="541">
        <f>VLOOKUP(E43,'MEMORIA DE CALCULO AT'!A:J,8,0)</f>
        <v>132.47999999999999</v>
      </c>
      <c r="J43" s="541">
        <f t="shared" si="14"/>
        <v>63</v>
      </c>
      <c r="K43" s="480">
        <v>12.13</v>
      </c>
      <c r="L43" s="479" t="s">
        <v>912</v>
      </c>
      <c r="M43" s="541">
        <f t="shared" ref="M43" si="16">TRUNC(K43*(1+$C$9),2)</f>
        <v>14.85</v>
      </c>
      <c r="N43" s="478">
        <f>TRUNC(L43*(1+$C$10),2)</f>
        <v>17.010000000000002</v>
      </c>
      <c r="O43" s="542">
        <f>TRUNC(Tabela3[[#This Row],[CUSTO UNITÁRIO C/BDI S/ DES]]*I43*Tabela3[[#This Row],[COEFICIENTE DE MULTIPLICAÇÃO]],2)</f>
        <v>123941.66</v>
      </c>
      <c r="P43" s="457"/>
    </row>
    <row r="44" spans="2:16" ht="38.25" x14ac:dyDescent="0.25">
      <c r="B44" s="475" t="s">
        <v>881</v>
      </c>
      <c r="C44" s="476" t="s">
        <v>53</v>
      </c>
      <c r="D44" s="476" t="s">
        <v>56</v>
      </c>
      <c r="E44" s="476" t="str">
        <f>Tabela3[[#This Row],[ITEM]]</f>
        <v>3.3</v>
      </c>
      <c r="F44" s="477" t="str">
        <f>COMPOSIÇÃO!A30</f>
        <v>CPU03</v>
      </c>
      <c r="G44" s="267" t="s">
        <v>874</v>
      </c>
      <c r="H44" s="476" t="s">
        <v>113</v>
      </c>
      <c r="I44" s="541">
        <f>VLOOKUP(E44,'MEMORIA DE CALCULO AT'!A:J,8,0)</f>
        <v>3</v>
      </c>
      <c r="J44" s="541">
        <f t="shared" si="14"/>
        <v>63</v>
      </c>
      <c r="K44" s="480">
        <v>342.99</v>
      </c>
      <c r="L44" s="479">
        <v>0</v>
      </c>
      <c r="M44" s="541">
        <f t="shared" ref="M44" si="17">TRUNC(K44*(1+$C$9),2)</f>
        <v>420.07</v>
      </c>
      <c r="N44" s="478">
        <f>TRUNC(L44*(1+$C$10),2)</f>
        <v>0</v>
      </c>
      <c r="O44" s="542">
        <f>TRUNC(Tabela3[[#This Row],[CUSTO UNITÁRIO C/BDI S/ DES]]*I44*Tabela3[[#This Row],[COEFICIENTE DE MULTIPLICAÇÃO]],2)</f>
        <v>79393.23</v>
      </c>
      <c r="P44" s="457"/>
    </row>
    <row r="45" spans="2:16" ht="6" customHeight="1" x14ac:dyDescent="0.25">
      <c r="B45" s="475"/>
      <c r="C45" s="476"/>
      <c r="D45" s="476"/>
      <c r="E45" s="476"/>
      <c r="F45" s="421"/>
      <c r="G45" s="267"/>
      <c r="H45" s="476"/>
      <c r="I45" s="478"/>
      <c r="J45" s="478"/>
      <c r="K45" s="480"/>
      <c r="L45" s="479"/>
      <c r="M45" s="478"/>
      <c r="N45" s="478"/>
      <c r="O45" s="549"/>
      <c r="P45" s="457"/>
    </row>
    <row r="46" spans="2:16" x14ac:dyDescent="0.25">
      <c r="B46" s="426" t="s">
        <v>34</v>
      </c>
      <c r="C46" s="60"/>
      <c r="D46" s="60"/>
      <c r="E46" s="60"/>
      <c r="F46" s="60"/>
      <c r="G46" s="61" t="s">
        <v>876</v>
      </c>
      <c r="H46" s="522"/>
      <c r="I46" s="523"/>
      <c r="J46" s="523"/>
      <c r="K46" s="524"/>
      <c r="L46" s="524"/>
      <c r="M46" s="523"/>
      <c r="N46" s="523"/>
      <c r="O46" s="546">
        <f>SUM(O47:O48)</f>
        <v>123176.75</v>
      </c>
      <c r="P46" s="457"/>
    </row>
    <row r="47" spans="2:16" ht="25.5" x14ac:dyDescent="0.25">
      <c r="B47" s="475" t="s">
        <v>35</v>
      </c>
      <c r="C47" s="476" t="s">
        <v>53</v>
      </c>
      <c r="D47" s="476" t="s">
        <v>54</v>
      </c>
      <c r="E47" s="476" t="str">
        <f>Tabela3[[#This Row],[ITEM]]</f>
        <v>4.1</v>
      </c>
      <c r="F47" s="477">
        <v>94216</v>
      </c>
      <c r="G47" s="267" t="s">
        <v>958</v>
      </c>
      <c r="H47" s="476" t="s">
        <v>44</v>
      </c>
      <c r="I47" s="541">
        <f>VLOOKUP(E47,'MEMORIA DE CALCULO AT'!A:J,8,0)</f>
        <v>6.82</v>
      </c>
      <c r="J47" s="541">
        <f t="shared" ref="J47:J48" si="18">$J$27</f>
        <v>63</v>
      </c>
      <c r="K47" s="480">
        <v>180.09</v>
      </c>
      <c r="L47" s="479" t="s">
        <v>913</v>
      </c>
      <c r="M47" s="541">
        <f t="shared" ref="M47:M48" si="19">TRUNC(K47*(1+$C$9),2)</f>
        <v>220.56</v>
      </c>
      <c r="N47" s="478">
        <f>TRUNC(L47*(1+$C$10),2)</f>
        <v>266.61</v>
      </c>
      <c r="O47" s="542">
        <f>TRUNC(Tabela3[[#This Row],[CUSTO UNITÁRIO C/BDI S/ DES]]*I47*Tabela3[[#This Row],[COEFICIENTE DE MULTIPLICAÇÃO]],2)</f>
        <v>94765.8</v>
      </c>
      <c r="P47" s="457"/>
    </row>
    <row r="48" spans="2:16" ht="25.5" x14ac:dyDescent="0.25">
      <c r="B48" s="475" t="s">
        <v>875</v>
      </c>
      <c r="C48" s="476" t="s">
        <v>53</v>
      </c>
      <c r="D48" s="476" t="s">
        <v>54</v>
      </c>
      <c r="E48" s="476" t="str">
        <f>Tabela3[[#This Row],[ITEM]]</f>
        <v>4.2</v>
      </c>
      <c r="F48" s="477">
        <v>94231</v>
      </c>
      <c r="G48" s="267" t="s">
        <v>959</v>
      </c>
      <c r="H48" s="476" t="s">
        <v>121</v>
      </c>
      <c r="I48" s="541">
        <f>VLOOKUP(E48,'MEMORIA DE CALCULO AT'!A:J,8,0)</f>
        <v>7.65</v>
      </c>
      <c r="J48" s="541">
        <f t="shared" si="18"/>
        <v>63</v>
      </c>
      <c r="K48" s="480">
        <v>48.14</v>
      </c>
      <c r="L48" s="479" t="s">
        <v>914</v>
      </c>
      <c r="M48" s="541">
        <f t="shared" si="19"/>
        <v>58.95</v>
      </c>
      <c r="N48" s="478">
        <f>TRUNC(L48*(1+$C$10),2)</f>
        <v>62.05</v>
      </c>
      <c r="O48" s="542">
        <f>TRUNC(Tabela3[[#This Row],[CUSTO UNITÁRIO C/BDI S/ DES]]*I48*Tabela3[[#This Row],[COEFICIENTE DE MULTIPLICAÇÃO]],2)</f>
        <v>28410.95</v>
      </c>
      <c r="P48" s="457"/>
    </row>
    <row r="49" spans="2:16" x14ac:dyDescent="0.25">
      <c r="B49" s="475"/>
      <c r="C49" s="476"/>
      <c r="D49" s="476"/>
      <c r="E49" s="476"/>
      <c r="F49" s="477"/>
      <c r="G49" s="267"/>
      <c r="H49" s="476"/>
      <c r="I49" s="478"/>
      <c r="J49" s="478"/>
      <c r="K49" s="480"/>
      <c r="L49" s="479"/>
      <c r="M49" s="478"/>
      <c r="N49" s="478"/>
      <c r="O49" s="549"/>
      <c r="P49" s="457"/>
    </row>
    <row r="50" spans="2:16" x14ac:dyDescent="0.25">
      <c r="B50" s="426" t="s">
        <v>57</v>
      </c>
      <c r="C50" s="60"/>
      <c r="D50" s="60"/>
      <c r="E50" s="60"/>
      <c r="F50" s="60"/>
      <c r="G50" s="61" t="s">
        <v>115</v>
      </c>
      <c r="H50" s="522"/>
      <c r="I50" s="523"/>
      <c r="J50" s="523"/>
      <c r="K50" s="524"/>
      <c r="L50" s="524"/>
      <c r="M50" s="523"/>
      <c r="N50" s="523"/>
      <c r="O50" s="546">
        <f>SUM(O51:O54)/2</f>
        <v>129041.10999999999</v>
      </c>
      <c r="P50" s="459" t="e">
        <f>SUM(P51:P59)/2</f>
        <v>#REF!</v>
      </c>
    </row>
    <row r="51" spans="2:16" x14ac:dyDescent="0.25">
      <c r="B51" s="428" t="s">
        <v>58</v>
      </c>
      <c r="C51" s="63"/>
      <c r="D51" s="63"/>
      <c r="E51" s="63"/>
      <c r="F51" s="63"/>
      <c r="G51" s="64" t="s">
        <v>826</v>
      </c>
      <c r="H51" s="519"/>
      <c r="I51" s="520"/>
      <c r="J51" s="520"/>
      <c r="K51" s="521"/>
      <c r="L51" s="521"/>
      <c r="M51" s="520"/>
      <c r="N51" s="520"/>
      <c r="O51" s="548">
        <f>SUM(O52:O55)</f>
        <v>129041.10999999999</v>
      </c>
      <c r="P51" s="461" t="e">
        <f>SUM(P52:P55)</f>
        <v>#REF!</v>
      </c>
    </row>
    <row r="52" spans="2:16" x14ac:dyDescent="0.25">
      <c r="B52" s="475" t="s">
        <v>864</v>
      </c>
      <c r="C52" s="476" t="s">
        <v>53</v>
      </c>
      <c r="D52" s="476" t="s">
        <v>54</v>
      </c>
      <c r="E52" s="476" t="str">
        <f>Tabela3[[#This Row],[ITEM]]</f>
        <v>5.1.1</v>
      </c>
      <c r="F52" s="477">
        <v>100575</v>
      </c>
      <c r="G52" s="267" t="s">
        <v>960</v>
      </c>
      <c r="H52" s="476" t="s">
        <v>44</v>
      </c>
      <c r="I52" s="541">
        <f>VLOOKUP(E52,'MEMORIA DE CALCULO AT'!A:J,8,0)</f>
        <v>16.762</v>
      </c>
      <c r="J52" s="541">
        <f t="shared" ref="J52:J54" si="20">$J$27</f>
        <v>63</v>
      </c>
      <c r="K52" s="480">
        <v>0.14000000000000001</v>
      </c>
      <c r="L52" s="479" t="s">
        <v>915</v>
      </c>
      <c r="M52" s="541">
        <f t="shared" ref="M52:M53" si="21">TRUNC(K52*(1+$C$9),2)</f>
        <v>0.17</v>
      </c>
      <c r="N52" s="478">
        <f>TRUNC(L52*(1+$C$10),2)</f>
        <v>0.13</v>
      </c>
      <c r="O52" s="542">
        <f>TRUNC(Tabela3[[#This Row],[CUSTO UNITÁRIO C/BDI S/ DES]]*I52*Tabela3[[#This Row],[COEFICIENTE DE MULTIPLICAÇÃO]],2)</f>
        <v>179.52</v>
      </c>
      <c r="P52" s="457" t="e">
        <v>#REF!</v>
      </c>
    </row>
    <row r="53" spans="2:16" ht="37.5" customHeight="1" x14ac:dyDescent="0.25">
      <c r="B53" s="475" t="s">
        <v>865</v>
      </c>
      <c r="C53" s="476" t="s">
        <v>53</v>
      </c>
      <c r="D53" s="476" t="s">
        <v>54</v>
      </c>
      <c r="E53" s="476" t="str">
        <f>Tabela3[[#This Row],[ITEM]]</f>
        <v>5.1.2</v>
      </c>
      <c r="F53" s="477">
        <v>100947</v>
      </c>
      <c r="G53" s="267" t="s">
        <v>961</v>
      </c>
      <c r="H53" s="476" t="s">
        <v>962</v>
      </c>
      <c r="I53" s="541">
        <f>VLOOKUP(E53,'MEMORIA DE CALCULO AT'!A:J,8,0)</f>
        <v>198.36</v>
      </c>
      <c r="J53" s="541">
        <f t="shared" si="20"/>
        <v>63</v>
      </c>
      <c r="K53" s="480">
        <v>2.17</v>
      </c>
      <c r="L53" s="479" t="s">
        <v>916</v>
      </c>
      <c r="M53" s="541">
        <f t="shared" si="21"/>
        <v>2.65</v>
      </c>
      <c r="N53" s="478">
        <f>TRUNC(L53*(1+$C$10),2)</f>
        <v>2.4</v>
      </c>
      <c r="O53" s="542">
        <f>TRUNC(Tabela3[[#This Row],[CUSTO UNITÁRIO C/BDI S/ DES]]*I53*Tabela3[[#This Row],[COEFICIENTE DE MULTIPLICAÇÃO]],2)</f>
        <v>33116.199999999997</v>
      </c>
      <c r="P53" s="457" t="e">
        <v>#REF!</v>
      </c>
    </row>
    <row r="54" spans="2:16" ht="37.5" customHeight="1" x14ac:dyDescent="0.25">
      <c r="B54" s="475" t="s">
        <v>866</v>
      </c>
      <c r="C54" s="476" t="s">
        <v>53</v>
      </c>
      <c r="D54" s="476" t="s">
        <v>54</v>
      </c>
      <c r="E54" s="476" t="str">
        <f>Tabela3[[#This Row],[ITEM]]</f>
        <v>5.1.3</v>
      </c>
      <c r="F54" s="477">
        <v>92397</v>
      </c>
      <c r="G54" s="267" t="s">
        <v>963</v>
      </c>
      <c r="H54" s="476" t="s">
        <v>44</v>
      </c>
      <c r="I54" s="541">
        <f>VLOOKUP(E54,'MEMORIA DE CALCULO AT'!A:J,8,0)</f>
        <v>16.53</v>
      </c>
      <c r="J54" s="541">
        <f t="shared" si="20"/>
        <v>63</v>
      </c>
      <c r="K54" s="480">
        <v>75.069999999999993</v>
      </c>
      <c r="L54" s="479" t="s">
        <v>917</v>
      </c>
      <c r="M54" s="541">
        <f t="shared" ref="M54" si="22">TRUNC(K54*(1+$C$9),2)</f>
        <v>91.94</v>
      </c>
      <c r="N54" s="478">
        <f>TRUNC(L54*(1+$C$10),2)</f>
        <v>81.290000000000006</v>
      </c>
      <c r="O54" s="542">
        <f>TRUNC(Tabela3[[#This Row],[CUSTO UNITÁRIO C/BDI S/ DES]]*I54*Tabela3[[#This Row],[COEFICIENTE DE MULTIPLICAÇÃO]],2)</f>
        <v>95745.39</v>
      </c>
      <c r="P54" s="457" t="e">
        <v>#REF!</v>
      </c>
    </row>
    <row r="55" spans="2:16" x14ac:dyDescent="0.25">
      <c r="B55" s="481"/>
      <c r="C55" s="482"/>
      <c r="D55" s="482"/>
      <c r="E55" s="482"/>
      <c r="F55" s="483"/>
      <c r="G55" s="267"/>
      <c r="H55" s="476"/>
      <c r="I55" s="485"/>
      <c r="J55" s="485"/>
      <c r="K55" s="480"/>
      <c r="L55" s="486"/>
      <c r="M55" s="485"/>
      <c r="N55" s="485"/>
      <c r="O55" s="545"/>
      <c r="P55" s="458"/>
    </row>
    <row r="56" spans="2:16" x14ac:dyDescent="0.25">
      <c r="B56" s="426" t="s">
        <v>116</v>
      </c>
      <c r="C56" s="60"/>
      <c r="D56" s="60"/>
      <c r="E56" s="60"/>
      <c r="F56" s="60"/>
      <c r="G56" s="61" t="s">
        <v>125</v>
      </c>
      <c r="H56" s="522"/>
      <c r="I56" s="523"/>
      <c r="J56" s="523"/>
      <c r="K56" s="524"/>
      <c r="L56" s="524"/>
      <c r="M56" s="523"/>
      <c r="N56" s="523"/>
      <c r="O56" s="546">
        <f>SUM(O57:O57)</f>
        <v>13078.8</v>
      </c>
      <c r="P56" s="459">
        <f>SUM(P57:P57)</f>
        <v>182.28</v>
      </c>
    </row>
    <row r="57" spans="2:16" ht="28.5" customHeight="1" x14ac:dyDescent="0.25">
      <c r="B57" s="475" t="s">
        <v>117</v>
      </c>
      <c r="C57" s="476" t="s">
        <v>53</v>
      </c>
      <c r="D57" s="476" t="s">
        <v>54</v>
      </c>
      <c r="E57" s="476" t="str">
        <f>Tabela3[[#This Row],[ITEM]]</f>
        <v>6.1</v>
      </c>
      <c r="F57" s="477">
        <v>103946</v>
      </c>
      <c r="G57" s="267" t="s">
        <v>964</v>
      </c>
      <c r="H57" s="476" t="s">
        <v>44</v>
      </c>
      <c r="I57" s="541">
        <f>VLOOKUP(E57,'MEMORIA DE CALCULO AT'!A:J,8,0)</f>
        <v>12</v>
      </c>
      <c r="J57" s="541">
        <f>$J$27</f>
        <v>63</v>
      </c>
      <c r="K57" s="480">
        <v>14.13</v>
      </c>
      <c r="L57" s="479" t="s">
        <v>918</v>
      </c>
      <c r="M57" s="541">
        <f t="shared" ref="M57" si="23">TRUNC(K57*(1+$C$9),2)</f>
        <v>17.3</v>
      </c>
      <c r="N57" s="478">
        <f>TRUNC(L57*(1+$C$10),2)</f>
        <v>15.19</v>
      </c>
      <c r="O57" s="542">
        <f>TRUNC(Tabela3[[#This Row],[CUSTO UNITÁRIO C/BDI S/ DES]]*I57*Tabela3[[#This Row],[COEFICIENTE DE MULTIPLICAÇÃO]],2)</f>
        <v>13078.8</v>
      </c>
      <c r="P57" s="457">
        <f>TRUNC(Tabela3[[#This Row],[CUSTO UNITÁRIO C/BDI S/ DES2]]*I57,2)</f>
        <v>182.28</v>
      </c>
    </row>
    <row r="58" spans="2:16" ht="5.25" customHeight="1" x14ac:dyDescent="0.25">
      <c r="B58" s="475"/>
      <c r="C58" s="476"/>
      <c r="D58" s="476"/>
      <c r="E58" s="476"/>
      <c r="F58" s="477"/>
      <c r="G58" s="267"/>
      <c r="H58" s="476"/>
      <c r="I58" s="531"/>
      <c r="J58" s="531"/>
      <c r="K58" s="480"/>
      <c r="L58" s="532"/>
      <c r="M58" s="531"/>
      <c r="N58" s="531"/>
      <c r="O58" s="550"/>
      <c r="P58" s="458"/>
    </row>
    <row r="59" spans="2:16" x14ac:dyDescent="0.25">
      <c r="B59" s="426" t="s">
        <v>59</v>
      </c>
      <c r="C59" s="60"/>
      <c r="D59" s="60"/>
      <c r="E59" s="60"/>
      <c r="F59" s="60"/>
      <c r="G59" s="61" t="s">
        <v>126</v>
      </c>
      <c r="H59" s="522"/>
      <c r="I59" s="523"/>
      <c r="J59" s="523"/>
      <c r="K59" s="524"/>
      <c r="L59" s="524"/>
      <c r="M59" s="523"/>
      <c r="N59" s="523"/>
      <c r="O59" s="546">
        <f>SUM(O60:O61)</f>
        <v>61199.060000000005</v>
      </c>
      <c r="P59" s="459" t="e">
        <f>SUM(#REF!)</f>
        <v>#REF!</v>
      </c>
    </row>
    <row r="60" spans="2:16" ht="38.25" x14ac:dyDescent="0.25">
      <c r="B60" s="475" t="s">
        <v>60</v>
      </c>
      <c r="C60" s="476" t="s">
        <v>53</v>
      </c>
      <c r="D60" s="476" t="s">
        <v>54</v>
      </c>
      <c r="E60" s="476" t="str">
        <f>Tabela3[[#This Row],[ITEM]]</f>
        <v>7.1</v>
      </c>
      <c r="F60" s="477">
        <v>100720</v>
      </c>
      <c r="G60" s="267" t="s">
        <v>965</v>
      </c>
      <c r="H60" s="476" t="s">
        <v>44</v>
      </c>
      <c r="I60" s="541">
        <f>VLOOKUP(E60,'MEMORIA DE CALCULO AT'!A:J,8,0)</f>
        <v>13.981199999999999</v>
      </c>
      <c r="J60" s="541">
        <f t="shared" ref="J60:J61" si="24">$J$27</f>
        <v>63</v>
      </c>
      <c r="K60" s="480">
        <v>10.08</v>
      </c>
      <c r="L60" s="479" t="s">
        <v>919</v>
      </c>
      <c r="M60" s="541">
        <f t="shared" ref="M60:M61" si="25">TRUNC(K60*(1+$C$9),2)</f>
        <v>12.34</v>
      </c>
      <c r="N60" s="478">
        <f t="shared" ref="N60:N61" si="26">TRUNC(L60*(1+$C$10),2)</f>
        <v>11.5</v>
      </c>
      <c r="O60" s="542">
        <f>TRUNC(Tabela3[[#This Row],[CUSTO UNITÁRIO C/BDI S/ DES]]*I60*Tabela3[[#This Row],[COEFICIENTE DE MULTIPLICAÇÃO]],2)</f>
        <v>10869.26</v>
      </c>
      <c r="P60" s="457"/>
    </row>
    <row r="61" spans="2:16" ht="51" x14ac:dyDescent="0.25">
      <c r="B61" s="475" t="s">
        <v>877</v>
      </c>
      <c r="C61" s="476" t="s">
        <v>53</v>
      </c>
      <c r="D61" s="476" t="s">
        <v>54</v>
      </c>
      <c r="E61" s="476" t="str">
        <f>Tabela3[[#This Row],[ITEM]]</f>
        <v>7.2</v>
      </c>
      <c r="F61" s="477">
        <v>100760</v>
      </c>
      <c r="G61" s="267" t="s">
        <v>966</v>
      </c>
      <c r="H61" s="476" t="s">
        <v>44</v>
      </c>
      <c r="I61" s="541">
        <f>VLOOKUP(E61,'MEMORIA DE CALCULO AT'!A:J,8,0)</f>
        <v>13.981199999999999</v>
      </c>
      <c r="J61" s="541">
        <f t="shared" si="24"/>
        <v>63</v>
      </c>
      <c r="K61" s="480">
        <v>46.66</v>
      </c>
      <c r="L61" s="479" t="s">
        <v>920</v>
      </c>
      <c r="M61" s="541">
        <f t="shared" si="25"/>
        <v>57.14</v>
      </c>
      <c r="N61" s="478">
        <f t="shared" si="26"/>
        <v>52.43</v>
      </c>
      <c r="O61" s="542">
        <f>TRUNC(Tabela3[[#This Row],[CUSTO UNITÁRIO C/BDI S/ DES]]*I61*Tabela3[[#This Row],[COEFICIENTE DE MULTIPLICAÇÃO]],2)</f>
        <v>50329.8</v>
      </c>
      <c r="P61" s="457"/>
    </row>
    <row r="62" spans="2:16" ht="6" customHeight="1" x14ac:dyDescent="0.25">
      <c r="B62" s="475"/>
      <c r="C62" s="476"/>
      <c r="D62" s="476"/>
      <c r="E62" s="476"/>
      <c r="F62" s="477"/>
      <c r="G62" s="267"/>
      <c r="H62" s="476"/>
      <c r="I62" s="478"/>
      <c r="J62" s="478"/>
      <c r="K62" s="480"/>
      <c r="L62" s="480"/>
      <c r="M62" s="478"/>
      <c r="N62" s="478"/>
      <c r="O62" s="549"/>
      <c r="P62" s="457"/>
    </row>
    <row r="63" spans="2:16" x14ac:dyDescent="0.25">
      <c r="B63" s="426" t="s">
        <v>61</v>
      </c>
      <c r="C63" s="60"/>
      <c r="D63" s="60"/>
      <c r="E63" s="60"/>
      <c r="F63" s="60"/>
      <c r="G63" s="61" t="s">
        <v>130</v>
      </c>
      <c r="H63" s="522"/>
      <c r="I63" s="523"/>
      <c r="J63" s="523"/>
      <c r="K63" s="524"/>
      <c r="L63" s="524"/>
      <c r="M63" s="523"/>
      <c r="N63" s="523"/>
      <c r="O63" s="546">
        <f>SUM(O64:O65)</f>
        <v>77367.02</v>
      </c>
      <c r="P63" s="459">
        <f>SUM(P65:P65)</f>
        <v>335.04</v>
      </c>
    </row>
    <row r="64" spans="2:16" x14ac:dyDescent="0.25">
      <c r="B64" s="475" t="s">
        <v>867</v>
      </c>
      <c r="C64" s="476" t="s">
        <v>53</v>
      </c>
      <c r="D64" s="476" t="s">
        <v>54</v>
      </c>
      <c r="E64" s="476" t="str">
        <f>Tabela3[[#This Row],[ITEM]]</f>
        <v>8.1</v>
      </c>
      <c r="F64" s="477">
        <v>90777</v>
      </c>
      <c r="G64" s="267" t="s">
        <v>967</v>
      </c>
      <c r="H64" s="476" t="s">
        <v>968</v>
      </c>
      <c r="I64" s="541">
        <f>VLOOKUP(E64,'MEMORIA DE CALCULO AT'!A:J,8,0)</f>
        <v>6.4</v>
      </c>
      <c r="J64" s="541">
        <f t="shared" ref="J64:J65" si="27">$J$27</f>
        <v>63</v>
      </c>
      <c r="K64" s="480">
        <v>116.82</v>
      </c>
      <c r="L64" s="479" t="s">
        <v>921</v>
      </c>
      <c r="M64" s="541">
        <f t="shared" ref="M64" si="28">TRUNC(K64*(1+$C$9),2)</f>
        <v>143.07</v>
      </c>
      <c r="N64" s="478">
        <f>TRUNC(L64*(1+$C$10),2)</f>
        <v>139</v>
      </c>
      <c r="O64" s="542">
        <f>TRUNC(Tabela3[[#This Row],[CUSTO UNITÁRIO C/BDI S/ DES]]*I64*Tabela3[[#This Row],[COEFICIENTE DE MULTIPLICAÇÃO]],2)</f>
        <v>57685.82</v>
      </c>
      <c r="P64" s="457">
        <f>TRUNC(Tabela3[[#This Row],[CUSTO UNITÁRIO C/BDI S/ DES2]]*I64,2)</f>
        <v>889.6</v>
      </c>
    </row>
    <row r="65" spans="2:16" x14ac:dyDescent="0.25">
      <c r="B65" s="475" t="s">
        <v>868</v>
      </c>
      <c r="C65" s="476" t="s">
        <v>53</v>
      </c>
      <c r="D65" s="476" t="s">
        <v>54</v>
      </c>
      <c r="E65" s="476" t="str">
        <f>Tabela3[[#This Row],[ITEM]]</f>
        <v>8.2</v>
      </c>
      <c r="F65" s="477">
        <v>90780</v>
      </c>
      <c r="G65" s="267" t="s">
        <v>969</v>
      </c>
      <c r="H65" s="476" t="s">
        <v>968</v>
      </c>
      <c r="I65" s="541">
        <f>VLOOKUP(E65,'MEMORIA DE CALCULO AT'!A:J,8,0)</f>
        <v>8</v>
      </c>
      <c r="J65" s="541">
        <f t="shared" si="27"/>
        <v>63</v>
      </c>
      <c r="K65" s="480">
        <v>31.89</v>
      </c>
      <c r="L65" s="479" t="s">
        <v>922</v>
      </c>
      <c r="M65" s="541">
        <f t="shared" ref="M65" si="29">TRUNC(K65*(1+$C$9),2)</f>
        <v>39.049999999999997</v>
      </c>
      <c r="N65" s="478">
        <f>TRUNC(L65*(1+$C$10),2)</f>
        <v>41.88</v>
      </c>
      <c r="O65" s="542">
        <f>TRUNC(Tabela3[[#This Row],[CUSTO UNITÁRIO C/BDI S/ DES]]*I65*Tabela3[[#This Row],[COEFICIENTE DE MULTIPLICAÇÃO]],2)</f>
        <v>19681.2</v>
      </c>
      <c r="P65" s="457">
        <f>TRUNC(Tabela3[[#This Row],[CUSTO UNITÁRIO C/BDI S/ DES2]]*I65,2)</f>
        <v>335.04</v>
      </c>
    </row>
    <row r="66" spans="2:16" x14ac:dyDescent="0.25">
      <c r="B66" s="475"/>
      <c r="C66" s="476"/>
      <c r="D66" s="476"/>
      <c r="E66" s="476"/>
      <c r="F66" s="477"/>
      <c r="G66" s="267"/>
      <c r="H66" s="476"/>
      <c r="I66" s="478"/>
      <c r="J66" s="478"/>
      <c r="K66" s="480"/>
      <c r="L66" s="480"/>
      <c r="M66" s="478"/>
      <c r="N66" s="478"/>
      <c r="O66" s="549"/>
      <c r="P66" s="457"/>
    </row>
    <row r="67" spans="2:16" x14ac:dyDescent="0.25">
      <c r="B67" s="426" t="s">
        <v>118</v>
      </c>
      <c r="C67" s="60"/>
      <c r="D67" s="60"/>
      <c r="E67" s="60"/>
      <c r="F67" s="60"/>
      <c r="G67" s="61" t="s">
        <v>129</v>
      </c>
      <c r="H67" s="522"/>
      <c r="I67" s="523"/>
      <c r="J67" s="523"/>
      <c r="K67" s="524"/>
      <c r="L67" s="524"/>
      <c r="M67" s="523"/>
      <c r="N67" s="523"/>
      <c r="O67" s="546">
        <f>SUM(O68:O68)</f>
        <v>27004.95</v>
      </c>
      <c r="P67" s="459">
        <f>SUM(P68:P68)</f>
        <v>379.66</v>
      </c>
    </row>
    <row r="68" spans="2:16" x14ac:dyDescent="0.25">
      <c r="B68" s="475" t="s">
        <v>869</v>
      </c>
      <c r="C68" s="476" t="s">
        <v>53</v>
      </c>
      <c r="D68" s="476" t="s">
        <v>55</v>
      </c>
      <c r="E68" s="476" t="str">
        <f>Tabela3[[#This Row],[ITEM]]</f>
        <v>9.1</v>
      </c>
      <c r="F68" s="477">
        <v>201002161</v>
      </c>
      <c r="G68" s="267" t="s">
        <v>970</v>
      </c>
      <c r="H68" s="476" t="s">
        <v>113</v>
      </c>
      <c r="I68" s="541">
        <f>VLOOKUP(E68,'MEMORIA DE CALCULO AT'!A:J,8,0)</f>
        <v>1</v>
      </c>
      <c r="J68" s="541">
        <f>$J$27</f>
        <v>63</v>
      </c>
      <c r="K68" s="480">
        <v>350</v>
      </c>
      <c r="L68" s="479">
        <v>310</v>
      </c>
      <c r="M68" s="541">
        <f t="shared" ref="M68" si="30">TRUNC(K68*(1+$C$9),2)</f>
        <v>428.65</v>
      </c>
      <c r="N68" s="478">
        <f>TRUNC(L68*(1+$C$10),2)</f>
        <v>379.66</v>
      </c>
      <c r="O68" s="542">
        <f>TRUNC(Tabela3[[#This Row],[CUSTO UNITÁRIO C/BDI S/ DES]]*I68*Tabela3[[#This Row],[COEFICIENTE DE MULTIPLICAÇÃO]],2)</f>
        <v>27004.95</v>
      </c>
      <c r="P68" s="457">
        <f>TRUNC(Tabela3[[#This Row],[CUSTO UNITÁRIO C/BDI S/ DES2]]*I68,2)</f>
        <v>379.66</v>
      </c>
    </row>
    <row r="69" spans="2:16" x14ac:dyDescent="0.25">
      <c r="B69" s="386"/>
      <c r="C69" s="85"/>
      <c r="D69" s="85"/>
      <c r="E69" s="85"/>
      <c r="F69" s="39"/>
      <c r="G69" s="331"/>
      <c r="H69" s="332"/>
      <c r="I69" s="333"/>
      <c r="J69" s="333"/>
      <c r="K69" s="301"/>
      <c r="L69" s="301"/>
      <c r="M69" s="334"/>
      <c r="N69" s="334"/>
      <c r="O69" s="551"/>
      <c r="P69" s="458"/>
    </row>
    <row r="70" spans="2:16" x14ac:dyDescent="0.25">
      <c r="B70" s="429"/>
      <c r="C70" s="430"/>
      <c r="D70" s="430"/>
      <c r="E70" s="430"/>
      <c r="F70" s="431"/>
      <c r="G70" s="432"/>
      <c r="H70" s="433"/>
      <c r="I70" s="434"/>
      <c r="J70" s="434"/>
      <c r="K70" s="433"/>
      <c r="L70" s="433"/>
      <c r="M70" s="433" t="s">
        <v>20</v>
      </c>
      <c r="N70" s="433"/>
      <c r="O70" s="435">
        <f>O67+O63+O59+O56+O50+O24+O15+O46+O41</f>
        <v>1122599.71</v>
      </c>
      <c r="P70" s="462" t="e">
        <f>SUM(P67+P63+P59+#REF!+#REF!+#REF!+#REF!+#REF!+#REF!+P56+#REF!+#REF!+#REF!+#REF!+#REF!+#REF!+#REF!+#REF!+#REF!+#REF!+#REF!+P24+#REF!+#REF!+P15)</f>
        <v>#REF!</v>
      </c>
    </row>
  </sheetData>
  <dataConsolidate/>
  <mergeCells count="5">
    <mergeCell ref="K11:M11"/>
    <mergeCell ref="M12:N12"/>
    <mergeCell ref="M6:O6"/>
    <mergeCell ref="M7:O9"/>
    <mergeCell ref="B5:O5"/>
  </mergeCells>
  <phoneticPr fontId="2" type="noConversion"/>
  <dataValidations disablePrompts="1" count="2">
    <dataValidation type="list" allowBlank="1" showInputMessage="1" showErrorMessage="1" sqref="C16:C22 C57 C52:C54 C64:C66 C68 C27:C29 C47:C49 C31:C40 C42:C45 C60:C62" xr:uid="{00000000-0002-0000-0300-000000000000}">
      <formula1>"SERVIÇO,INSUMO"</formula1>
    </dataValidation>
    <dataValidation type="list" allowBlank="1" showInputMessage="1" showErrorMessage="1" sqref="D14:D70" xr:uid="{00000000-0002-0000-0300-000001000000}">
      <formula1>"AGESUL,SINAPI,SBC,SINDUSCON,SEINFRA,COMPOSIÇÃO,COTAÇÃO"</formula1>
    </dataValidation>
  </dataValidations>
  <printOptions horizontalCentered="1"/>
  <pageMargins left="0.7" right="0.7" top="0.75" bottom="0.75" header="0.3" footer="0.3"/>
  <pageSetup paperSize="9" scale="60" fitToHeight="0" orientation="landscape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workbookViewId="0"/>
  </sheetViews>
  <sheetFormatPr defaultRowHeight="15" x14ac:dyDescent="0.25"/>
  <cols>
    <col min="1" max="1" width="23.28515625" customWidth="1"/>
    <col min="2" max="2" width="76.42578125" customWidth="1"/>
    <col min="4" max="4" width="9.85546875" customWidth="1"/>
    <col min="7" max="7" width="11.28515625" customWidth="1"/>
  </cols>
  <sheetData>
    <row r="1" spans="1:7" x14ac:dyDescent="0.25">
      <c r="A1" s="261" t="s">
        <v>633</v>
      </c>
      <c r="B1" s="262"/>
      <c r="C1" s="262"/>
      <c r="D1" s="262"/>
      <c r="E1" s="262"/>
      <c r="F1" s="262"/>
      <c r="G1" s="262"/>
    </row>
    <row r="2" spans="1:7" x14ac:dyDescent="0.25">
      <c r="A2" s="85">
        <v>52090</v>
      </c>
      <c r="B2" s="258" t="s">
        <v>634</v>
      </c>
      <c r="C2" s="259" t="s">
        <v>121</v>
      </c>
      <c r="D2" s="146">
        <v>233.58</v>
      </c>
      <c r="E2" s="146">
        <v>53.07</v>
      </c>
      <c r="F2" s="146"/>
      <c r="G2" s="146">
        <f>D2*E2</f>
        <v>12396.090600000001</v>
      </c>
    </row>
    <row r="3" spans="1:7" x14ac:dyDescent="0.25">
      <c r="A3" s="85">
        <v>52092</v>
      </c>
      <c r="B3" s="258" t="s">
        <v>635</v>
      </c>
      <c r="C3" s="259" t="s">
        <v>121</v>
      </c>
      <c r="D3" s="146">
        <v>167.64</v>
      </c>
      <c r="E3" s="146">
        <v>95.62</v>
      </c>
      <c r="F3" s="146"/>
      <c r="G3" s="146">
        <f t="shared" ref="G3:G21" si="0">D3*E3</f>
        <v>16029.736799999999</v>
      </c>
    </row>
    <row r="4" spans="1:7" x14ac:dyDescent="0.25">
      <c r="A4" s="85">
        <v>52656</v>
      </c>
      <c r="B4" s="258" t="s">
        <v>636</v>
      </c>
      <c r="C4" s="259" t="s">
        <v>113</v>
      </c>
      <c r="D4" s="146">
        <v>21</v>
      </c>
      <c r="E4" s="146">
        <v>355.38</v>
      </c>
      <c r="F4" s="146"/>
      <c r="G4" s="146">
        <f t="shared" si="0"/>
        <v>7462.98</v>
      </c>
    </row>
    <row r="5" spans="1:7" x14ac:dyDescent="0.25">
      <c r="A5" s="85">
        <v>52654</v>
      </c>
      <c r="B5" s="258" t="s">
        <v>637</v>
      </c>
      <c r="C5" s="259" t="s">
        <v>113</v>
      </c>
      <c r="D5" s="146">
        <v>120</v>
      </c>
      <c r="E5" s="146">
        <v>171.67</v>
      </c>
      <c r="F5" s="146"/>
      <c r="G5" s="146">
        <f t="shared" si="0"/>
        <v>20600.399999999998</v>
      </c>
    </row>
    <row r="6" spans="1:7" x14ac:dyDescent="0.25">
      <c r="A6" s="85">
        <v>52746</v>
      </c>
      <c r="B6" s="258" t="s">
        <v>638</v>
      </c>
      <c r="C6" s="259" t="s">
        <v>113</v>
      </c>
      <c r="D6" s="146">
        <v>40</v>
      </c>
      <c r="E6" s="146">
        <v>325</v>
      </c>
      <c r="F6" s="146"/>
      <c r="G6" s="146">
        <f t="shared" si="0"/>
        <v>13000</v>
      </c>
    </row>
    <row r="7" spans="1:7" x14ac:dyDescent="0.25">
      <c r="A7" s="85">
        <v>56229</v>
      </c>
      <c r="B7" s="258" t="s">
        <v>645</v>
      </c>
      <c r="C7" s="259" t="s">
        <v>113</v>
      </c>
      <c r="D7" s="146">
        <v>20</v>
      </c>
      <c r="E7" s="146">
        <v>29.42</v>
      </c>
      <c r="F7" s="146"/>
      <c r="G7" s="146">
        <f t="shared" si="0"/>
        <v>588.40000000000009</v>
      </c>
    </row>
    <row r="8" spans="1:7" x14ac:dyDescent="0.25">
      <c r="A8" s="85">
        <v>92319</v>
      </c>
      <c r="B8" s="258" t="s">
        <v>644</v>
      </c>
      <c r="C8" s="259" t="s">
        <v>113</v>
      </c>
      <c r="D8" s="146">
        <v>20</v>
      </c>
      <c r="E8" s="146">
        <v>43.05</v>
      </c>
      <c r="F8" s="146"/>
      <c r="G8" s="146">
        <f t="shared" si="0"/>
        <v>861</v>
      </c>
    </row>
    <row r="9" spans="1:7" x14ac:dyDescent="0.25">
      <c r="A9" s="85">
        <v>52862</v>
      </c>
      <c r="B9" s="258" t="s">
        <v>639</v>
      </c>
      <c r="C9" s="259" t="s">
        <v>113</v>
      </c>
      <c r="D9" s="146">
        <v>4</v>
      </c>
      <c r="E9" s="146">
        <v>1592.32</v>
      </c>
      <c r="F9" s="146"/>
      <c r="G9" s="146">
        <f t="shared" si="0"/>
        <v>6369.28</v>
      </c>
    </row>
    <row r="10" spans="1:7" x14ac:dyDescent="0.25">
      <c r="A10" s="85">
        <v>22</v>
      </c>
      <c r="B10" s="258" t="s">
        <v>640</v>
      </c>
      <c r="C10" s="259" t="s">
        <v>113</v>
      </c>
      <c r="D10" s="146">
        <v>1</v>
      </c>
      <c r="E10" s="146">
        <v>705.26</v>
      </c>
      <c r="F10" s="146"/>
      <c r="G10" s="146">
        <f t="shared" si="0"/>
        <v>705.26</v>
      </c>
    </row>
    <row r="11" spans="1:7" x14ac:dyDescent="0.25">
      <c r="A11" s="85">
        <v>23</v>
      </c>
      <c r="B11" s="258" t="s">
        <v>641</v>
      </c>
      <c r="C11" s="259" t="s">
        <v>113</v>
      </c>
      <c r="D11" s="146">
        <v>1</v>
      </c>
      <c r="E11" s="146">
        <v>705</v>
      </c>
      <c r="F11" s="146"/>
      <c r="G11" s="146">
        <f t="shared" si="0"/>
        <v>705</v>
      </c>
    </row>
    <row r="12" spans="1:7" x14ac:dyDescent="0.25">
      <c r="A12" s="85">
        <v>24</v>
      </c>
      <c r="B12" s="258" t="s">
        <v>642</v>
      </c>
      <c r="C12" s="259" t="s">
        <v>113</v>
      </c>
      <c r="D12" s="146">
        <v>1</v>
      </c>
      <c r="E12" s="146">
        <v>705</v>
      </c>
      <c r="F12" s="146"/>
      <c r="G12" s="146">
        <f t="shared" si="0"/>
        <v>705</v>
      </c>
    </row>
    <row r="13" spans="1:7" x14ac:dyDescent="0.25">
      <c r="A13" s="85">
        <v>25</v>
      </c>
      <c r="B13" s="258" t="s">
        <v>643</v>
      </c>
      <c r="C13" s="259" t="s">
        <v>113</v>
      </c>
      <c r="D13" s="146">
        <v>1</v>
      </c>
      <c r="E13" s="146">
        <v>705</v>
      </c>
      <c r="F13" s="146"/>
      <c r="G13" s="146">
        <f t="shared" si="0"/>
        <v>705</v>
      </c>
    </row>
    <row r="14" spans="1:7" ht="24" x14ac:dyDescent="0.25">
      <c r="A14" s="85">
        <v>1301006095</v>
      </c>
      <c r="B14" s="258" t="s">
        <v>646</v>
      </c>
      <c r="C14" s="259" t="s">
        <v>121</v>
      </c>
      <c r="D14" s="146">
        <v>9</v>
      </c>
      <c r="E14" s="146">
        <v>188.17</v>
      </c>
      <c r="F14" s="146"/>
      <c r="G14" s="146">
        <f t="shared" si="0"/>
        <v>1693.53</v>
      </c>
    </row>
    <row r="15" spans="1:7" x14ac:dyDescent="0.25">
      <c r="A15" s="85">
        <v>54308</v>
      </c>
      <c r="B15" s="258" t="s">
        <v>647</v>
      </c>
      <c r="C15" s="259" t="s">
        <v>44</v>
      </c>
      <c r="D15" s="146">
        <f>9*0.5</f>
        <v>4.5</v>
      </c>
      <c r="E15" s="146">
        <v>121.85</v>
      </c>
      <c r="F15" s="146"/>
      <c r="G15" s="146">
        <f t="shared" si="0"/>
        <v>548.32499999999993</v>
      </c>
    </row>
    <row r="16" spans="1:7" x14ac:dyDescent="0.25">
      <c r="A16" s="259" t="s">
        <v>98</v>
      </c>
      <c r="B16" s="258" t="s">
        <v>648</v>
      </c>
      <c r="C16" s="259" t="s">
        <v>143</v>
      </c>
      <c r="D16" s="146">
        <v>1</v>
      </c>
      <c r="E16" s="146">
        <v>93610</v>
      </c>
      <c r="F16" s="146"/>
      <c r="G16" s="146">
        <f t="shared" si="0"/>
        <v>93610</v>
      </c>
    </row>
    <row r="17" spans="1:11" ht="24" x14ac:dyDescent="0.25">
      <c r="A17" s="259">
        <v>1</v>
      </c>
      <c r="B17" s="258" t="s">
        <v>649</v>
      </c>
      <c r="C17" s="259" t="s">
        <v>113</v>
      </c>
      <c r="D17" s="146">
        <v>1</v>
      </c>
      <c r="E17" s="146">
        <v>6000</v>
      </c>
      <c r="F17" s="146"/>
      <c r="G17" s="146">
        <f t="shared" si="0"/>
        <v>6000</v>
      </c>
    </row>
    <row r="18" spans="1:11" x14ac:dyDescent="0.25">
      <c r="A18" s="259" t="s">
        <v>98</v>
      </c>
      <c r="B18" s="258" t="s">
        <v>650</v>
      </c>
      <c r="C18" s="259" t="s">
        <v>113</v>
      </c>
      <c r="D18" s="146">
        <v>60</v>
      </c>
      <c r="E18" s="146">
        <v>313</v>
      </c>
      <c r="F18" s="146"/>
      <c r="G18" s="146">
        <f t="shared" si="0"/>
        <v>18780</v>
      </c>
      <c r="K18">
        <f>1740+250+760+710</f>
        <v>3460</v>
      </c>
    </row>
    <row r="19" spans="1:11" x14ac:dyDescent="0.25">
      <c r="A19" s="259" t="s">
        <v>98</v>
      </c>
      <c r="B19" s="258" t="s">
        <v>651</v>
      </c>
      <c r="C19" s="259" t="s">
        <v>113</v>
      </c>
      <c r="D19" s="146">
        <v>1</v>
      </c>
      <c r="E19" s="146">
        <v>500</v>
      </c>
      <c r="F19" s="146"/>
      <c r="G19" s="146">
        <f t="shared" si="0"/>
        <v>500</v>
      </c>
    </row>
    <row r="20" spans="1:11" x14ac:dyDescent="0.25">
      <c r="A20" s="259" t="s">
        <v>98</v>
      </c>
      <c r="B20" s="258" t="s">
        <v>652</v>
      </c>
      <c r="C20" s="259" t="s">
        <v>113</v>
      </c>
      <c r="D20" s="146">
        <v>20</v>
      </c>
      <c r="E20" s="146">
        <v>2210</v>
      </c>
      <c r="F20" s="146"/>
      <c r="G20" s="146">
        <f t="shared" si="0"/>
        <v>44200</v>
      </c>
    </row>
    <row r="21" spans="1:11" x14ac:dyDescent="0.25">
      <c r="A21" s="259" t="s">
        <v>98</v>
      </c>
      <c r="B21" s="258" t="s">
        <v>653</v>
      </c>
      <c r="C21" s="259" t="s">
        <v>113</v>
      </c>
      <c r="D21" s="146">
        <f>D2+D3</f>
        <v>401.22</v>
      </c>
      <c r="E21" s="146">
        <v>11.93</v>
      </c>
      <c r="F21" s="146"/>
      <c r="G21" s="146">
        <f t="shared" si="0"/>
        <v>4786.5546000000004</v>
      </c>
    </row>
    <row r="22" spans="1:11" x14ac:dyDescent="0.25">
      <c r="G22" s="260">
        <f>SUM(G2:G21)</f>
        <v>250246.557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:J162"/>
  <sheetViews>
    <sheetView view="pageBreakPreview" zoomScaleNormal="100" zoomScaleSheetLayoutView="100" workbookViewId="0">
      <selection activeCell="K1" sqref="K1:U1048576"/>
    </sheetView>
  </sheetViews>
  <sheetFormatPr defaultColWidth="14.42578125" defaultRowHeight="12.75" x14ac:dyDescent="0.2"/>
  <cols>
    <col min="1" max="1" width="14.42578125" style="90"/>
    <col min="2" max="2" width="15.28515625" style="111" customWidth="1"/>
    <col min="3" max="3" width="18.7109375" style="111" customWidth="1"/>
    <col min="4" max="4" width="19.28515625" style="111" customWidth="1"/>
    <col min="5" max="5" width="31.42578125" style="111" customWidth="1"/>
    <col min="6" max="6" width="16" style="111" customWidth="1"/>
    <col min="7" max="7" width="20.140625" style="111" customWidth="1"/>
    <col min="8" max="8" width="14.140625" style="111" customWidth="1"/>
    <col min="9" max="9" width="16.5703125" style="111" customWidth="1"/>
    <col min="10" max="10" width="49.28515625" style="118" bestFit="1" customWidth="1"/>
    <col min="11" max="13" width="8.7109375" style="90" customWidth="1"/>
    <col min="14" max="16384" width="14.42578125" style="90"/>
  </cols>
  <sheetData>
    <row r="3" spans="2:10" ht="14.25" x14ac:dyDescent="0.2">
      <c r="B3" s="88"/>
      <c r="C3" s="89"/>
      <c r="D3" s="720" t="str">
        <f>'ORÇAMENTO_N DES'!$D$2</f>
        <v>GOVERNO DO ESTADO DE MATO GROSSO DO SUL</v>
      </c>
      <c r="E3" s="720"/>
      <c r="F3" s="720"/>
      <c r="G3" s="720"/>
      <c r="H3" s="720"/>
      <c r="I3" s="720"/>
      <c r="J3" s="721"/>
    </row>
    <row r="4" spans="2:10" ht="15.75" customHeight="1" x14ac:dyDescent="0.2">
      <c r="B4" s="91"/>
      <c r="C4" s="92"/>
      <c r="D4" s="722" t="str">
        <f>'ORÇAMENTO_N DES'!$D$3</f>
        <v>PREFEITURA MUNICIPAL DE RIBAS DO RIO PARDO</v>
      </c>
      <c r="E4" s="723"/>
      <c r="F4" s="723"/>
      <c r="G4" s="723"/>
      <c r="H4" s="723"/>
      <c r="I4" s="723"/>
      <c r="J4" s="724"/>
    </row>
    <row r="5" spans="2:10" ht="14.25" customHeight="1" x14ac:dyDescent="0.2">
      <c r="B5" s="93"/>
      <c r="C5" s="94"/>
      <c r="D5" s="725" t="str">
        <f>'ORÇAMENTO_N DES'!$D$4</f>
        <v>SECRETARIA DE OBRAS</v>
      </c>
      <c r="E5" s="720"/>
      <c r="F5" s="720"/>
      <c r="G5" s="720"/>
      <c r="H5" s="720"/>
      <c r="I5" s="720"/>
      <c r="J5" s="721"/>
    </row>
    <row r="6" spans="2:10" ht="20.25" x14ac:dyDescent="0.2">
      <c r="B6" s="726" t="s">
        <v>170</v>
      </c>
      <c r="C6" s="726"/>
      <c r="D6" s="727"/>
      <c r="E6" s="727"/>
      <c r="F6" s="727"/>
      <c r="G6" s="727"/>
      <c r="H6" s="727"/>
      <c r="I6" s="727"/>
      <c r="J6" s="727"/>
    </row>
    <row r="7" spans="2:10" x14ac:dyDescent="0.2">
      <c r="B7" s="95" t="s">
        <v>171</v>
      </c>
      <c r="C7" s="728" t="str">
        <f>'ORÇAMENTO_N DES'!$C$6</f>
        <v>CONSTRUÇÃO DE PONTOS DE ÔNIBUS</v>
      </c>
      <c r="D7" s="729"/>
      <c r="E7" s="729"/>
      <c r="F7" s="729"/>
      <c r="G7" s="729"/>
      <c r="H7" s="729"/>
      <c r="I7" s="96" t="s">
        <v>45</v>
      </c>
      <c r="J7" s="97"/>
    </row>
    <row r="8" spans="2:10" x14ac:dyDescent="0.2">
      <c r="B8" s="95" t="s">
        <v>2</v>
      </c>
      <c r="C8" s="728" t="str">
        <f>'ORÇAMENTO_N DES'!$C$7</f>
        <v>RIBAS DO RIO PARDO - MS</v>
      </c>
      <c r="D8" s="729"/>
      <c r="E8" s="729"/>
      <c r="F8" s="729"/>
      <c r="G8" s="729"/>
      <c r="H8" s="729"/>
      <c r="I8" s="98"/>
      <c r="J8" s="99"/>
    </row>
    <row r="9" spans="2:10" x14ac:dyDescent="0.2">
      <c r="B9" s="95" t="s">
        <v>3</v>
      </c>
      <c r="C9" s="728" t="str">
        <f>'ORÇAMENTO_N DES'!$C$8</f>
        <v>RIBAS DO RIO PARDO</v>
      </c>
      <c r="D9" s="729"/>
      <c r="E9" s="729"/>
      <c r="F9" s="729"/>
      <c r="G9" s="729"/>
      <c r="H9" s="729"/>
      <c r="I9" s="730" t="str">
        <f>'ORÇAMENTO_N DES'!M7</f>
        <v>_________________________________
FÁBIO MARQUES RIBEIRO
CREA - 15.276 D</v>
      </c>
      <c r="J9" s="731"/>
    </row>
    <row r="10" spans="2:10" ht="19.5" customHeight="1" x14ac:dyDescent="0.2">
      <c r="B10" s="100" t="s">
        <v>66</v>
      </c>
      <c r="C10" s="732" t="str">
        <f>'ORÇAMENTO_N DES'!$C$11</f>
        <v>AGESUL(JUNHO/2024) SINAPI (JUNHO/2024 SBC (JUNHO/2024)</v>
      </c>
      <c r="D10" s="733"/>
      <c r="E10" s="733"/>
      <c r="F10" s="733"/>
      <c r="G10" s="733"/>
      <c r="H10" s="734"/>
      <c r="I10" s="730"/>
      <c r="J10" s="731"/>
    </row>
    <row r="11" spans="2:10" x14ac:dyDescent="0.2">
      <c r="B11" s="101"/>
      <c r="C11" s="244"/>
      <c r="D11" s="244"/>
      <c r="E11" s="102"/>
      <c r="F11" s="102"/>
      <c r="G11" s="249"/>
      <c r="H11" s="103"/>
      <c r="I11" s="103"/>
      <c r="J11" s="104"/>
    </row>
    <row r="12" spans="2:10" x14ac:dyDescent="0.2">
      <c r="B12" s="101"/>
      <c r="C12" s="244"/>
      <c r="D12" s="244"/>
      <c r="E12" s="102"/>
      <c r="F12" s="102"/>
      <c r="G12" s="249"/>
      <c r="H12" s="103"/>
      <c r="I12" s="103"/>
      <c r="J12" s="104"/>
    </row>
    <row r="13" spans="2:10" ht="12.75" customHeight="1" x14ac:dyDescent="0.2">
      <c r="B13" s="735" t="s">
        <v>197</v>
      </c>
      <c r="C13" s="736"/>
      <c r="D13" s="736"/>
      <c r="E13" s="736"/>
      <c r="F13" s="736"/>
      <c r="G13" s="736"/>
      <c r="H13" s="736"/>
      <c r="I13" s="736"/>
      <c r="J13" s="737"/>
    </row>
    <row r="14" spans="2:10" ht="12.75" customHeight="1" x14ac:dyDescent="0.2">
      <c r="B14" s="119"/>
      <c r="C14" s="120"/>
      <c r="D14" s="120"/>
      <c r="E14" s="120"/>
      <c r="F14" s="120"/>
      <c r="G14" s="120"/>
      <c r="H14" s="120"/>
      <c r="I14" s="120"/>
      <c r="J14" s="121"/>
    </row>
    <row r="15" spans="2:10" ht="12.75" customHeight="1" x14ac:dyDescent="0.2">
      <c r="B15" s="246"/>
      <c r="C15" s="242"/>
      <c r="D15" s="242"/>
      <c r="E15" s="242"/>
      <c r="F15" s="242"/>
      <c r="G15" s="200"/>
      <c r="H15" s="200"/>
      <c r="I15" s="200"/>
      <c r="J15" s="201"/>
    </row>
    <row r="16" spans="2:10" x14ac:dyDescent="0.2">
      <c r="B16" s="245" t="s">
        <v>43</v>
      </c>
      <c r="C16" s="245" t="s">
        <v>38</v>
      </c>
      <c r="D16" s="738" t="s">
        <v>52</v>
      </c>
      <c r="E16" s="738"/>
      <c r="F16" s="738"/>
      <c r="G16" s="738"/>
      <c r="H16" s="738"/>
      <c r="I16" s="738"/>
      <c r="J16" s="245" t="s">
        <v>39</v>
      </c>
    </row>
    <row r="17" spans="1:10" x14ac:dyDescent="0.2">
      <c r="B17" s="392" t="s">
        <v>172</v>
      </c>
      <c r="C17" s="393"/>
      <c r="D17" s="394" t="s">
        <v>4</v>
      </c>
      <c r="E17" s="394"/>
      <c r="F17" s="394"/>
      <c r="G17" s="394"/>
      <c r="H17" s="394"/>
      <c r="I17" s="394"/>
      <c r="J17" s="395"/>
    </row>
    <row r="18" spans="1:10" ht="13.5" customHeight="1" x14ac:dyDescent="0.2">
      <c r="B18" s="143" t="str">
        <f>'ORÇAMENTO_N DES'!B16</f>
        <v>1.1</v>
      </c>
      <c r="C18" s="143">
        <f>'ORÇAMENTO_N DES'!F16</f>
        <v>103689</v>
      </c>
      <c r="D18" s="716" t="str">
        <f>'ORÇAMENTO_N DES'!G16</f>
        <v>FORNECIMENTO E INSTALAÇÃO DE PLACA DE OBRA COM CHAPA GALVANIZADA E ESTRUTURA DE MADEIRA. AF_03/2022_PS</v>
      </c>
      <c r="E18" s="716"/>
      <c r="F18" s="716"/>
      <c r="G18" s="716"/>
      <c r="H18" s="716"/>
      <c r="I18" s="716"/>
      <c r="J18" s="143" t="str">
        <f>'ORÇAMENTO_N DES'!H16</f>
        <v>M2</v>
      </c>
    </row>
    <row r="19" spans="1:10" ht="12.75" customHeight="1" x14ac:dyDescent="0.2">
      <c r="B19" s="247" t="s">
        <v>173</v>
      </c>
      <c r="C19" s="739" t="s">
        <v>241</v>
      </c>
      <c r="D19" s="740"/>
      <c r="E19" s="740"/>
      <c r="F19" s="741"/>
      <c r="G19" s="247" t="s">
        <v>174</v>
      </c>
      <c r="H19" s="247" t="s">
        <v>175</v>
      </c>
      <c r="I19" s="240" t="s">
        <v>176</v>
      </c>
      <c r="J19" s="247" t="s">
        <v>177</v>
      </c>
    </row>
    <row r="20" spans="1:10" x14ac:dyDescent="0.2">
      <c r="A20" s="313" t="str">
        <f>VLOOKUP(B18,'ORÇAMENTO_N DES'!B:P,4,0)</f>
        <v>1.1</v>
      </c>
      <c r="B20" s="667" t="s">
        <v>178</v>
      </c>
      <c r="C20" s="668"/>
      <c r="D20" s="668"/>
      <c r="E20" s="668"/>
      <c r="F20" s="669"/>
      <c r="G20" s="243">
        <v>4</v>
      </c>
      <c r="H20" s="243">
        <v>2</v>
      </c>
      <c r="I20" s="241">
        <f>G20*H20</f>
        <v>8</v>
      </c>
      <c r="J20" s="248" t="s">
        <v>707</v>
      </c>
    </row>
    <row r="21" spans="1:10" ht="33.75" customHeight="1" x14ac:dyDescent="0.2">
      <c r="B21" s="143" t="str">
        <f>'ORÇAMENTO_N DES'!B17</f>
        <v>1.2</v>
      </c>
      <c r="C21" s="143">
        <f>'ORÇAMENTO_N DES'!F17</f>
        <v>99059</v>
      </c>
      <c r="D21" s="683" t="str">
        <f>'ORÇAMENTO_N DES'!G17</f>
        <v>LOCAÇÃO CONVENCIONAL DE OBRA, UTILIZANDO GABARITO DE TÁBUAS CORRIDAS PONTALETADAS A CADA 2,00M -  2 UTILIZAÇÕES. AF_03/2024</v>
      </c>
      <c r="E21" s="684"/>
      <c r="F21" s="684"/>
      <c r="G21" s="684"/>
      <c r="H21" s="684"/>
      <c r="I21" s="685"/>
      <c r="J21" s="143" t="str">
        <f>'ORÇAMENTO_N DES'!H17</f>
        <v>M</v>
      </c>
    </row>
    <row r="22" spans="1:10" ht="12.75" customHeight="1" x14ac:dyDescent="0.2">
      <c r="B22" s="247" t="s">
        <v>173</v>
      </c>
      <c r="C22" s="739" t="s">
        <v>242</v>
      </c>
      <c r="D22" s="740"/>
      <c r="E22" s="740"/>
      <c r="F22" s="740"/>
      <c r="G22" s="740"/>
      <c r="H22" s="741"/>
      <c r="I22" s="240" t="s">
        <v>179</v>
      </c>
      <c r="J22" s="247" t="s">
        <v>177</v>
      </c>
    </row>
    <row r="23" spans="1:10" x14ac:dyDescent="0.2">
      <c r="A23" s="313" t="str">
        <f>VLOOKUP(B21,'ORÇAMENTO_N DES'!B:P,4,0)</f>
        <v>1.2</v>
      </c>
      <c r="B23" s="667" t="s">
        <v>178</v>
      </c>
      <c r="C23" s="668"/>
      <c r="D23" s="668"/>
      <c r="E23" s="668"/>
      <c r="F23" s="668"/>
      <c r="G23" s="668"/>
      <c r="H23" s="669"/>
      <c r="I23" s="391">
        <f>5.78*2+2.9*2</f>
        <v>17.36</v>
      </c>
      <c r="J23" s="248" t="s">
        <v>179</v>
      </c>
    </row>
    <row r="24" spans="1:10" x14ac:dyDescent="0.2">
      <c r="B24" s="143" t="str">
        <f>'ORÇAMENTO_N DES'!B18</f>
        <v>1.3</v>
      </c>
      <c r="C24" s="143" t="str">
        <f>'ORÇAMENTO_N DES'!F18</f>
        <v>CPU02</v>
      </c>
      <c r="D24" s="683" t="str">
        <f>'ORÇAMENTO_N DES'!G18</f>
        <v>INSTALAÇÃO PROVISÓRIA DE ÁGUA E ESGOTO</v>
      </c>
      <c r="E24" s="684"/>
      <c r="F24" s="684"/>
      <c r="G24" s="684"/>
      <c r="H24" s="684"/>
      <c r="I24" s="685"/>
      <c r="J24" s="143" t="str">
        <f>'ORÇAMENTO_N DES'!H18</f>
        <v>UN</v>
      </c>
    </row>
    <row r="25" spans="1:10" ht="15" customHeight="1" x14ac:dyDescent="0.2">
      <c r="B25" s="247" t="s">
        <v>173</v>
      </c>
      <c r="C25" s="739"/>
      <c r="D25" s="740"/>
      <c r="E25" s="740"/>
      <c r="F25" s="740"/>
      <c r="G25" s="740"/>
      <c r="H25" s="741"/>
      <c r="I25" s="240" t="s">
        <v>40</v>
      </c>
      <c r="J25" s="247" t="s">
        <v>177</v>
      </c>
    </row>
    <row r="26" spans="1:10" x14ac:dyDescent="0.2">
      <c r="A26" s="313" t="str">
        <f>VLOOKUP(B24,'ORÇAMENTO_N DES'!B:P,4,0)</f>
        <v>1.3</v>
      </c>
      <c r="B26" s="667" t="s">
        <v>178</v>
      </c>
      <c r="C26" s="668"/>
      <c r="D26" s="668"/>
      <c r="E26" s="668"/>
      <c r="F26" s="668"/>
      <c r="G26" s="668"/>
      <c r="H26" s="669"/>
      <c r="I26" s="391">
        <v>1</v>
      </c>
      <c r="J26" s="248" t="s">
        <v>39</v>
      </c>
    </row>
    <row r="27" spans="1:10" x14ac:dyDescent="0.2">
      <c r="B27" s="143" t="str">
        <f>'ORÇAMENTO_N DES'!B19</f>
        <v>1.4</v>
      </c>
      <c r="C27" s="143">
        <f>'ORÇAMENTO_N DES'!F19</f>
        <v>12205</v>
      </c>
      <c r="D27" s="683" t="str">
        <f>'ORÇAMENTO_N DES'!G19</f>
        <v>INSTALACAO PROVISORIA DE LUZ E FORCA COM MEDIDOR E POSTE</v>
      </c>
      <c r="E27" s="684"/>
      <c r="F27" s="684"/>
      <c r="G27" s="684"/>
      <c r="H27" s="684"/>
      <c r="I27" s="685"/>
      <c r="J27" s="143" t="s">
        <v>113</v>
      </c>
    </row>
    <row r="28" spans="1:10" x14ac:dyDescent="0.2">
      <c r="B28" s="247" t="s">
        <v>173</v>
      </c>
      <c r="C28" s="739"/>
      <c r="D28" s="740"/>
      <c r="E28" s="740"/>
      <c r="F28" s="740"/>
      <c r="G28" s="740"/>
      <c r="H28" s="741"/>
      <c r="I28" s="240" t="s">
        <v>40</v>
      </c>
      <c r="J28" s="247" t="s">
        <v>177</v>
      </c>
    </row>
    <row r="29" spans="1:10" x14ac:dyDescent="0.2">
      <c r="A29" s="313" t="str">
        <f>VLOOKUP(B27,'ORÇAMENTO_N DES'!B:P,4,0)</f>
        <v>1.4</v>
      </c>
      <c r="B29" s="667" t="s">
        <v>178</v>
      </c>
      <c r="C29" s="668"/>
      <c r="D29" s="668"/>
      <c r="E29" s="668"/>
      <c r="F29" s="668"/>
      <c r="G29" s="668"/>
      <c r="H29" s="669"/>
      <c r="I29" s="391">
        <v>1</v>
      </c>
      <c r="J29" s="248" t="s">
        <v>39</v>
      </c>
    </row>
    <row r="30" spans="1:10" x14ac:dyDescent="0.2">
      <c r="B30" s="108" t="str">
        <f>'ORÇAMENTO_N DES'!B20</f>
        <v>1.5</v>
      </c>
      <c r="C30" s="108">
        <f>'ORÇAMENTO_N DES'!F20</f>
        <v>98524</v>
      </c>
      <c r="D30" s="745" t="str">
        <f>'ORÇAMENTO_N DES'!G20</f>
        <v>LIMPEZA MANUAL DE VEGETAÇÃO EM TERRENO COM ENXADA. AF_03/2024</v>
      </c>
      <c r="E30" s="746"/>
      <c r="F30" s="746"/>
      <c r="G30" s="746"/>
      <c r="H30" s="746"/>
      <c r="I30" s="747"/>
      <c r="J30" s="108" t="s">
        <v>44</v>
      </c>
    </row>
    <row r="31" spans="1:10" x14ac:dyDescent="0.2">
      <c r="B31" s="247" t="s">
        <v>173</v>
      </c>
      <c r="C31" s="664" t="s">
        <v>179</v>
      </c>
      <c r="D31" s="665"/>
      <c r="E31" s="665"/>
      <c r="F31" s="666"/>
      <c r="G31" s="247" t="s">
        <v>180</v>
      </c>
      <c r="H31" s="247" t="s">
        <v>174</v>
      </c>
      <c r="I31" s="240" t="s">
        <v>176</v>
      </c>
      <c r="J31" s="247" t="s">
        <v>177</v>
      </c>
    </row>
    <row r="32" spans="1:10" x14ac:dyDescent="0.2">
      <c r="A32" s="313" t="str">
        <f>VLOOKUP(B30,'ORÇAMENTO_N DES'!B:P,4,0)</f>
        <v>1.5</v>
      </c>
      <c r="B32" s="667" t="s">
        <v>178</v>
      </c>
      <c r="C32" s="668"/>
      <c r="D32" s="668"/>
      <c r="E32" s="668"/>
      <c r="F32" s="669"/>
      <c r="G32" s="243">
        <v>5.78</v>
      </c>
      <c r="H32" s="243">
        <v>2.9</v>
      </c>
      <c r="I32" s="241">
        <f>G32*H32</f>
        <v>16.762</v>
      </c>
      <c r="J32" s="248" t="s">
        <v>181</v>
      </c>
    </row>
    <row r="33" spans="1:10" x14ac:dyDescent="0.2">
      <c r="B33" s="108" t="str">
        <f>'ORÇAMENTO_N DES'!B21</f>
        <v>1.6</v>
      </c>
      <c r="C33" s="143">
        <f>'ORÇAMENTO_N DES'!F21</f>
        <v>201002161</v>
      </c>
      <c r="D33" s="683" t="str">
        <f>'ORÇAMENTO_N DES'!G21</f>
        <v>LOCACAO DE CACAMBA (4M3) (7 DIAS)</v>
      </c>
      <c r="E33" s="684"/>
      <c r="F33" s="684"/>
      <c r="G33" s="684"/>
      <c r="H33" s="684"/>
      <c r="I33" s="685"/>
      <c r="J33" s="143" t="s">
        <v>113</v>
      </c>
    </row>
    <row r="34" spans="1:10" x14ac:dyDescent="0.2">
      <c r="B34" s="247" t="s">
        <v>173</v>
      </c>
      <c r="C34" s="739"/>
      <c r="D34" s="740"/>
      <c r="E34" s="740"/>
      <c r="F34" s="740"/>
      <c r="G34" s="740"/>
      <c r="H34" s="741"/>
      <c r="I34" s="240" t="s">
        <v>40</v>
      </c>
      <c r="J34" s="247" t="s">
        <v>177</v>
      </c>
    </row>
    <row r="35" spans="1:10" x14ac:dyDescent="0.2">
      <c r="A35" s="313" t="str">
        <f>VLOOKUP(B33,'ORÇAMENTO_N DES'!B:P,4,0)</f>
        <v>1.6</v>
      </c>
      <c r="B35" s="667" t="s">
        <v>178</v>
      </c>
      <c r="C35" s="668"/>
      <c r="D35" s="668"/>
      <c r="E35" s="668"/>
      <c r="F35" s="668"/>
      <c r="G35" s="668"/>
      <c r="H35" s="669"/>
      <c r="I35" s="391">
        <v>1</v>
      </c>
      <c r="J35" s="248" t="s">
        <v>39</v>
      </c>
    </row>
    <row r="36" spans="1:10" ht="41.25" customHeight="1" x14ac:dyDescent="0.2">
      <c r="A36" s="313"/>
      <c r="B36" s="108" t="str">
        <f>'ORÇAMENTO_N DES'!B22</f>
        <v>1.7</v>
      </c>
      <c r="C36" s="143">
        <f>'ORÇAMENTO_N DES'!F22</f>
        <v>100983</v>
      </c>
      <c r="D36" s="683" t="str">
        <f>'ORÇAMENTO_N DES'!G22</f>
        <v>CARGA, MANOBRA E DESCARGA DE ENTULHO EM CAMINHÃO BASCULANTE 14 M³ - CARGA COM ESCAVADEIRA HIDRÁULICA  (CAÇAMBA DE 0,80 M³ / 111 HP) E DESCARGA LIVRE (UNIDADE: M3). AF_07/2020</v>
      </c>
      <c r="E36" s="684"/>
      <c r="F36" s="684"/>
      <c r="G36" s="684"/>
      <c r="H36" s="684"/>
      <c r="I36" s="685"/>
      <c r="J36" s="143" t="str">
        <f>'ORÇAMENTO_N DES'!H21</f>
        <v>UN</v>
      </c>
    </row>
    <row r="37" spans="1:10" x14ac:dyDescent="0.2">
      <c r="A37" s="313"/>
      <c r="B37" s="247" t="s">
        <v>173</v>
      </c>
      <c r="C37" s="717"/>
      <c r="D37" s="718"/>
      <c r="E37" s="719"/>
      <c r="F37" s="247" t="s">
        <v>182</v>
      </c>
      <c r="G37" s="247" t="s">
        <v>767</v>
      </c>
      <c r="H37" s="664" t="s">
        <v>768</v>
      </c>
      <c r="I37" s="666"/>
      <c r="J37" s="247" t="s">
        <v>177</v>
      </c>
    </row>
    <row r="38" spans="1:10" x14ac:dyDescent="0.2">
      <c r="A38" s="313" t="str">
        <f>VLOOKUP(B36,'ORÇAMENTO_N DES'!B:P,4,0)</f>
        <v>1.7</v>
      </c>
      <c r="B38" s="667" t="s">
        <v>178</v>
      </c>
      <c r="C38" s="668"/>
      <c r="D38" s="668"/>
      <c r="E38" s="669"/>
      <c r="F38" s="243">
        <v>4</v>
      </c>
      <c r="G38" s="243">
        <f>F38/4</f>
        <v>1</v>
      </c>
      <c r="H38" s="678">
        <v>4</v>
      </c>
      <c r="I38" s="679"/>
      <c r="J38" s="248" t="s">
        <v>39</v>
      </c>
    </row>
    <row r="39" spans="1:10" x14ac:dyDescent="0.2">
      <c r="B39" s="105" t="str">
        <f>'ORÇAMENTO_N DES'!$B$24</f>
        <v>2.</v>
      </c>
      <c r="C39" s="517"/>
      <c r="D39" s="106" t="str">
        <f>'ORÇAMENTO_N DES'!$G$24</f>
        <v>ESTRUTURA DE CONCRETO ARMADO</v>
      </c>
      <c r="E39" s="106"/>
      <c r="F39" s="106"/>
      <c r="G39" s="106"/>
      <c r="H39" s="106"/>
      <c r="I39" s="106"/>
      <c r="J39" s="107"/>
    </row>
    <row r="40" spans="1:10" x14ac:dyDescent="0.2">
      <c r="B40" s="112" t="str">
        <f>'ORÇAMENTO_N DES'!$B$25</f>
        <v>2.1</v>
      </c>
      <c r="C40" s="518"/>
      <c r="D40" s="114" t="str">
        <f>'ORÇAMENTO_N DES'!$G$25</f>
        <v>FUNDAÇÃO</v>
      </c>
      <c r="E40" s="114"/>
      <c r="F40" s="114"/>
      <c r="G40" s="114"/>
      <c r="H40" s="114"/>
      <c r="I40" s="114"/>
      <c r="J40" s="115"/>
    </row>
    <row r="41" spans="1:10" s="515" customFormat="1" x14ac:dyDescent="0.2">
      <c r="B41" s="501" t="str">
        <f>'ORÇAMENTO_N DES'!B26</f>
        <v>2.1.1</v>
      </c>
      <c r="C41" s="488"/>
      <c r="D41" s="116" t="str">
        <f>'ORÇAMENTO_N DES'!G26</f>
        <v>ESTACAS</v>
      </c>
      <c r="E41" s="116"/>
      <c r="F41" s="116"/>
      <c r="G41" s="116"/>
      <c r="H41" s="116"/>
      <c r="I41" s="116"/>
      <c r="J41" s="117"/>
    </row>
    <row r="42" spans="1:10" s="515" customFormat="1" ht="33.75" customHeight="1" x14ac:dyDescent="0.2">
      <c r="B42" s="489" t="str">
        <f>'ORÇAMENTO_N DES'!B27</f>
        <v>2.1.1.1</v>
      </c>
      <c r="C42" s="490">
        <f>'ORÇAMENTO_N DES'!F27</f>
        <v>101174</v>
      </c>
      <c r="D42" s="654" t="str">
        <f>'ORÇAMENTO_N DES'!G27</f>
        <v>ESTACA BROCA DE CONCRETO, DIÂMETRO DE 25CM, ESCAVAÇÃO MANUAL COM TRADO CONCHA, COM ARMADURA DE ARRANQUE. AF_05/2020</v>
      </c>
      <c r="E42" s="654"/>
      <c r="F42" s="654"/>
      <c r="G42" s="654"/>
      <c r="H42" s="654"/>
      <c r="I42" s="654"/>
      <c r="J42" s="490" t="str">
        <f>'ORÇAMENTO_N DES'!H27</f>
        <v>M</v>
      </c>
    </row>
    <row r="43" spans="1:10" s="515" customFormat="1" ht="25.5" x14ac:dyDescent="0.2">
      <c r="B43" s="690" t="s">
        <v>173</v>
      </c>
      <c r="C43" s="690"/>
      <c r="D43" s="690"/>
      <c r="E43" s="690" t="s">
        <v>40</v>
      </c>
      <c r="F43" s="690"/>
      <c r="G43" s="690" t="s">
        <v>836</v>
      </c>
      <c r="H43" s="690"/>
      <c r="I43" s="396" t="s">
        <v>837</v>
      </c>
      <c r="J43" s="491" t="s">
        <v>177</v>
      </c>
    </row>
    <row r="44" spans="1:10" s="515" customFormat="1" ht="106.5" customHeight="1" x14ac:dyDescent="0.2">
      <c r="B44" s="492"/>
      <c r="C44" s="487"/>
      <c r="D44" s="487"/>
      <c r="E44" s="699">
        <v>3</v>
      </c>
      <c r="F44" s="699"/>
      <c r="G44" s="699">
        <v>3</v>
      </c>
      <c r="H44" s="699"/>
      <c r="I44" s="493">
        <f>E44*G44</f>
        <v>9</v>
      </c>
      <c r="J44" s="494" t="s">
        <v>838</v>
      </c>
    </row>
    <row r="45" spans="1:10" s="515" customFormat="1" x14ac:dyDescent="0.2">
      <c r="A45" s="516" t="str">
        <f>B42</f>
        <v>2.1.1.1</v>
      </c>
      <c r="B45" s="742" t="s">
        <v>178</v>
      </c>
      <c r="C45" s="743"/>
      <c r="D45" s="743"/>
      <c r="E45" s="743"/>
      <c r="F45" s="743"/>
      <c r="G45" s="743"/>
      <c r="H45" s="744"/>
      <c r="I45" s="495">
        <f>SUM(I44:I44)</f>
        <v>9</v>
      </c>
      <c r="J45" s="396"/>
    </row>
    <row r="46" spans="1:10" s="515" customFormat="1" ht="12.75" customHeight="1" x14ac:dyDescent="0.2">
      <c r="A46" s="516"/>
      <c r="B46" s="490" t="str">
        <f>'ORÇAMENTO_N DES'!B28</f>
        <v>2.1.1.2</v>
      </c>
      <c r="C46" s="490">
        <f>'ORÇAMENTO_N DES'!F28</f>
        <v>103670</v>
      </c>
      <c r="D46" s="654" t="str">
        <f>'ORÇAMENTO_N DES'!G28</f>
        <v>LANÇAMENTO COM USO DE BALDES, ADENSAMENTO E ACABAMENTO DE CONCRETO EM ESTRUTURAS. AF_02/2022</v>
      </c>
      <c r="E46" s="654"/>
      <c r="F46" s="654"/>
      <c r="G46" s="654"/>
      <c r="H46" s="654"/>
      <c r="I46" s="654"/>
      <c r="J46" s="490" t="str">
        <f>'ORÇAMENTO_N DES'!H28</f>
        <v>M3</v>
      </c>
    </row>
    <row r="47" spans="1:10" s="515" customFormat="1" x14ac:dyDescent="0.2">
      <c r="B47" s="655" t="s">
        <v>173</v>
      </c>
      <c r="C47" s="656"/>
      <c r="D47" s="656"/>
      <c r="E47" s="656"/>
      <c r="F47" s="656"/>
      <c r="G47" s="656"/>
      <c r="H47" s="657"/>
      <c r="I47" s="396" t="s">
        <v>182</v>
      </c>
      <c r="J47" s="491" t="s">
        <v>177</v>
      </c>
    </row>
    <row r="48" spans="1:10" s="515" customFormat="1" x14ac:dyDescent="0.2">
      <c r="B48" s="659"/>
      <c r="C48" s="660"/>
      <c r="D48" s="660"/>
      <c r="E48" s="660"/>
      <c r="F48" s="660"/>
      <c r="G48" s="660"/>
      <c r="H48" s="661"/>
      <c r="I48" s="496">
        <f>((PI()*(0.25^2))/4)*I44</f>
        <v>0.44178646691106466</v>
      </c>
      <c r="J48" s="497" t="s">
        <v>182</v>
      </c>
    </row>
    <row r="49" spans="1:10" s="515" customFormat="1" x14ac:dyDescent="0.2">
      <c r="A49" s="516" t="str">
        <f>B46</f>
        <v>2.1.1.2</v>
      </c>
      <c r="B49" s="695" t="s">
        <v>178</v>
      </c>
      <c r="C49" s="696"/>
      <c r="D49" s="696"/>
      <c r="E49" s="696"/>
      <c r="F49" s="696"/>
      <c r="G49" s="696"/>
      <c r="H49" s="698"/>
      <c r="I49" s="498">
        <f>SUM(I48)</f>
        <v>0.44178646691106466</v>
      </c>
      <c r="J49" s="499"/>
    </row>
    <row r="50" spans="1:10" s="515" customFormat="1" ht="12.75" customHeight="1" x14ac:dyDescent="0.2">
      <c r="B50" s="490" t="str">
        <f>'ORÇAMENTO_N DES'!B29</f>
        <v>2.1.1.3</v>
      </c>
      <c r="C50" s="490">
        <f>'ORÇAMENTO_N DES'!F29</f>
        <v>95601</v>
      </c>
      <c r="D50" s="654" t="str">
        <f>'ORÇAMENTO_N DES'!G29</f>
        <v>ARRASAMENTO MECANICO DE ESTACA DE CONCRETO ARMADO, DIAMETROS DE ATÉ 40 CM. AF_05/2021</v>
      </c>
      <c r="E50" s="654"/>
      <c r="F50" s="654"/>
      <c r="G50" s="654"/>
      <c r="H50" s="654"/>
      <c r="I50" s="654"/>
      <c r="J50" s="490" t="str">
        <f>'ORÇAMENTO_N DES'!H29</f>
        <v>UN</v>
      </c>
    </row>
    <row r="51" spans="1:10" s="515" customFormat="1" x14ac:dyDescent="0.2">
      <c r="B51" s="700" t="s">
        <v>173</v>
      </c>
      <c r="C51" s="701"/>
      <c r="D51" s="701"/>
      <c r="E51" s="701"/>
      <c r="F51" s="701"/>
      <c r="G51" s="701"/>
      <c r="H51" s="702"/>
      <c r="I51" s="396" t="s">
        <v>40</v>
      </c>
      <c r="J51" s="491" t="s">
        <v>177</v>
      </c>
    </row>
    <row r="52" spans="1:10" s="515" customFormat="1" ht="16.5" customHeight="1" x14ac:dyDescent="0.2">
      <c r="B52" s="659"/>
      <c r="C52" s="660"/>
      <c r="D52" s="660"/>
      <c r="E52" s="660"/>
      <c r="F52" s="660"/>
      <c r="G52" s="660"/>
      <c r="H52" s="661"/>
      <c r="I52" s="496">
        <f>SUM(E44:F44)</f>
        <v>3</v>
      </c>
      <c r="J52" s="500" t="s">
        <v>40</v>
      </c>
    </row>
    <row r="53" spans="1:10" s="515" customFormat="1" x14ac:dyDescent="0.2">
      <c r="A53" s="516" t="str">
        <f>B50</f>
        <v>2.1.1.3</v>
      </c>
      <c r="B53" s="695" t="s">
        <v>178</v>
      </c>
      <c r="C53" s="696"/>
      <c r="D53" s="696"/>
      <c r="E53" s="696"/>
      <c r="F53" s="696"/>
      <c r="G53" s="696"/>
      <c r="H53" s="698"/>
      <c r="I53" s="498">
        <f>SUM(I52)</f>
        <v>3</v>
      </c>
      <c r="J53" s="499"/>
    </row>
    <row r="54" spans="1:10" s="515" customFormat="1" x14ac:dyDescent="0.2">
      <c r="B54" s="501" t="str">
        <f>'ORÇAMENTO_N DES'!B30</f>
        <v>2.1.2</v>
      </c>
      <c r="C54" s="488"/>
      <c r="D54" s="116" t="str">
        <f>'ORÇAMENTO_N DES'!G30</f>
        <v>BLOCO DE COROAMENTO</v>
      </c>
      <c r="E54" s="116"/>
      <c r="F54" s="116"/>
      <c r="G54" s="116"/>
      <c r="H54" s="116"/>
      <c r="I54" s="116"/>
      <c r="J54" s="117"/>
    </row>
    <row r="55" spans="1:10" s="515" customFormat="1" ht="12.75" customHeight="1" x14ac:dyDescent="0.2">
      <c r="B55" s="489" t="str">
        <f>'ORÇAMENTO_N DES'!B31</f>
        <v>2.1.2.1</v>
      </c>
      <c r="C55" s="490">
        <f>VLOOKUP(B55,'ORÇAMENTO_N DES'!B:M,5,FALSE)</f>
        <v>96523</v>
      </c>
      <c r="D55" s="654" t="str">
        <f>VLOOKUP(B55,'ORÇAMENTO_N DES'!B:M,6,FALSE)</f>
        <v>ESCAVAÇÃO MANUAL PARA BLOCO DE COROAMENTO OU SAPATA (INCLUINDO ESCAVAÇÃO PARA COLOCAÇÃO DE FÔRMAS). AF_01/2024</v>
      </c>
      <c r="E55" s="654"/>
      <c r="F55" s="654"/>
      <c r="G55" s="654"/>
      <c r="H55" s="654"/>
      <c r="I55" s="654"/>
      <c r="J55" s="490" t="str">
        <f>VLOOKUP(B55,'ORÇAMENTO_N DES'!B:M,7,FALSE)</f>
        <v>M3</v>
      </c>
    </row>
    <row r="56" spans="1:10" s="515" customFormat="1" ht="12.75" customHeight="1" x14ac:dyDescent="0.2">
      <c r="B56" s="690" t="s">
        <v>173</v>
      </c>
      <c r="C56" s="690"/>
      <c r="D56" s="690"/>
      <c r="E56" s="690"/>
      <c r="F56" s="690"/>
      <c r="G56" s="396" t="s">
        <v>839</v>
      </c>
      <c r="H56" s="396" t="s">
        <v>840</v>
      </c>
      <c r="I56" s="101" t="s">
        <v>182</v>
      </c>
      <c r="J56" s="491" t="s">
        <v>177</v>
      </c>
    </row>
    <row r="57" spans="1:10" s="515" customFormat="1" ht="12.75" customHeight="1" x14ac:dyDescent="0.2">
      <c r="B57" s="691" t="s">
        <v>841</v>
      </c>
      <c r="C57" s="691"/>
      <c r="D57" s="691"/>
      <c r="E57" s="691"/>
      <c r="F57" s="691"/>
      <c r="G57" s="243">
        <f>I77</f>
        <v>1</v>
      </c>
      <c r="H57" s="243">
        <v>1.6</v>
      </c>
      <c r="I57" s="502">
        <f>G57*H57</f>
        <v>1.6</v>
      </c>
      <c r="J57" s="252" t="s">
        <v>842</v>
      </c>
    </row>
    <row r="58" spans="1:10" s="515" customFormat="1" x14ac:dyDescent="0.2">
      <c r="A58" s="516" t="str">
        <f>B55</f>
        <v>2.1.2.1</v>
      </c>
      <c r="B58" s="692" t="s">
        <v>178</v>
      </c>
      <c r="C58" s="693"/>
      <c r="D58" s="693"/>
      <c r="E58" s="693"/>
      <c r="F58" s="693"/>
      <c r="G58" s="693"/>
      <c r="H58" s="694"/>
      <c r="I58" s="498">
        <f>SUM(I57)</f>
        <v>1.6</v>
      </c>
      <c r="J58" s="499"/>
    </row>
    <row r="59" spans="1:10" s="515" customFormat="1" ht="12.75" customHeight="1" x14ac:dyDescent="0.2">
      <c r="A59" s="516"/>
      <c r="B59" s="489" t="str">
        <f>'ORÇAMENTO_N DES'!B32</f>
        <v>2.1.2.2</v>
      </c>
      <c r="C59" s="490">
        <f>VLOOKUP(B59,'ORÇAMENTO_N DES'!B:M,5,FALSE)</f>
        <v>96617</v>
      </c>
      <c r="D59" s="654" t="str">
        <f>VLOOKUP(B59,'ORÇAMENTO_N DES'!B:M,6,FALSE)</f>
        <v>LASTRO DE CONCRETO MAGRO, APLICADO EM BLOCOS DE COROAMENTO OU SAPATAS, ESPESSURA DE 3 CM. AF_01/2024</v>
      </c>
      <c r="E59" s="654"/>
      <c r="F59" s="654"/>
      <c r="G59" s="654"/>
      <c r="H59" s="654"/>
      <c r="I59" s="654"/>
      <c r="J59" s="490" t="str">
        <f>VLOOKUP(B59,'ORÇAMENTO_N DES'!B:M,7,FALSE)</f>
        <v>M2</v>
      </c>
    </row>
    <row r="60" spans="1:10" s="515" customFormat="1" x14ac:dyDescent="0.2">
      <c r="B60" s="700" t="s">
        <v>173</v>
      </c>
      <c r="C60" s="701"/>
      <c r="D60" s="701"/>
      <c r="E60" s="701"/>
      <c r="F60" s="701"/>
      <c r="G60" s="701"/>
      <c r="H60" s="702"/>
      <c r="I60" s="396" t="s">
        <v>176</v>
      </c>
      <c r="J60" s="491" t="s">
        <v>177</v>
      </c>
    </row>
    <row r="61" spans="1:10" s="515" customFormat="1" ht="12.75" customHeight="1" x14ac:dyDescent="0.2">
      <c r="B61" s="659" t="s">
        <v>509</v>
      </c>
      <c r="C61" s="660"/>
      <c r="D61" s="660"/>
      <c r="E61" s="660"/>
      <c r="F61" s="660"/>
      <c r="G61" s="660"/>
      <c r="H61" s="661"/>
      <c r="I61" s="496">
        <f>1.2*0.5*2</f>
        <v>1.2</v>
      </c>
      <c r="J61" s="500" t="s">
        <v>176</v>
      </c>
    </row>
    <row r="62" spans="1:10" s="515" customFormat="1" x14ac:dyDescent="0.2">
      <c r="A62" s="516" t="str">
        <f>B59</f>
        <v>2.1.2.2</v>
      </c>
      <c r="B62" s="695" t="s">
        <v>178</v>
      </c>
      <c r="C62" s="696"/>
      <c r="D62" s="696"/>
      <c r="E62" s="696"/>
      <c r="F62" s="696"/>
      <c r="G62" s="696"/>
      <c r="H62" s="698"/>
      <c r="I62" s="498">
        <f>SUM(I61)</f>
        <v>1.2</v>
      </c>
      <c r="J62" s="499"/>
    </row>
    <row r="63" spans="1:10" s="515" customFormat="1" ht="27" customHeight="1" x14ac:dyDescent="0.2">
      <c r="B63" s="503" t="str">
        <f>'ORÇAMENTO_N DES'!B33</f>
        <v>2.1.2.3</v>
      </c>
      <c r="C63" s="490">
        <f>VLOOKUP(B63,'ORÇAMENTO_N DES'!B:M,5,FALSE)</f>
        <v>96540</v>
      </c>
      <c r="D63" s="654" t="str">
        <f>VLOOKUP(B63,'ORÇAMENTO_N DES'!B:M,6,FALSE)</f>
        <v>FABRICAÇÃO, MONTAGEM E DESMONTAGEM DE FÔRMA PARA BLOCO DE COROAMENTO, EM CHAPA DE MADEIRA COMPENSADA RESINADA, E=17 MM, 4 UTILIZAÇÕES. AF_01/2024</v>
      </c>
      <c r="E63" s="654"/>
      <c r="F63" s="654"/>
      <c r="G63" s="654"/>
      <c r="H63" s="654"/>
      <c r="I63" s="654"/>
      <c r="J63" s="490" t="str">
        <f>VLOOKUP(B63,'ORÇAMENTO_N DES'!B:M,7,FALSE)</f>
        <v>M2</v>
      </c>
    </row>
    <row r="64" spans="1:10" s="515" customFormat="1" ht="12.75" customHeight="1" x14ac:dyDescent="0.2">
      <c r="B64" s="655" t="s">
        <v>173</v>
      </c>
      <c r="C64" s="656"/>
      <c r="D64" s="656"/>
      <c r="E64" s="656"/>
      <c r="F64" s="656"/>
      <c r="G64" s="656"/>
      <c r="H64" s="657"/>
      <c r="I64" s="396" t="s">
        <v>843</v>
      </c>
      <c r="J64" s="491" t="s">
        <v>177</v>
      </c>
    </row>
    <row r="65" spans="1:10" s="515" customFormat="1" ht="145.5" customHeight="1" x14ac:dyDescent="0.2">
      <c r="B65" s="504"/>
      <c r="C65" s="505"/>
      <c r="D65" s="506"/>
      <c r="E65" s="659" t="s">
        <v>844</v>
      </c>
      <c r="F65" s="660"/>
      <c r="G65" s="660"/>
      <c r="H65" s="661"/>
      <c r="I65" s="502">
        <v>2.8</v>
      </c>
      <c r="J65" s="500" t="s">
        <v>845</v>
      </c>
    </row>
    <row r="66" spans="1:10" s="515" customFormat="1" ht="12.75" customHeight="1" x14ac:dyDescent="0.2">
      <c r="A66" s="516" t="str">
        <f>B63</f>
        <v>2.1.2.3</v>
      </c>
      <c r="B66" s="695" t="s">
        <v>178</v>
      </c>
      <c r="C66" s="696"/>
      <c r="D66" s="696"/>
      <c r="E66" s="696"/>
      <c r="F66" s="696"/>
      <c r="G66" s="696"/>
      <c r="H66" s="698"/>
      <c r="I66" s="498">
        <f>SUM(I65)</f>
        <v>2.8</v>
      </c>
      <c r="J66" s="499"/>
    </row>
    <row r="67" spans="1:10" s="515" customFormat="1" ht="12.75" customHeight="1" x14ac:dyDescent="0.2">
      <c r="B67" s="490" t="str">
        <f>'ORÇAMENTO_N DES'!B34</f>
        <v>2.1.2.4</v>
      </c>
      <c r="C67" s="490">
        <f>VLOOKUP(B67,'ORÇAMENTO_N DES'!B:M,5,FALSE)</f>
        <v>96543</v>
      </c>
      <c r="D67" s="654" t="str">
        <f>VLOOKUP(B67,'ORÇAMENTO_N DES'!B:M,6,FALSE)</f>
        <v>ARMAÇÃO DE BLOCO UTILIZANDO AÇO CA-60 DE 5 MM - MONTAGEM. AF_01/2024</v>
      </c>
      <c r="E67" s="654"/>
      <c r="F67" s="654"/>
      <c r="G67" s="654"/>
      <c r="H67" s="654"/>
      <c r="I67" s="654"/>
      <c r="J67" s="490" t="str">
        <f>VLOOKUP(B67,'ORÇAMENTO_N DES'!B:M,7,FALSE)</f>
        <v>KG</v>
      </c>
    </row>
    <row r="68" spans="1:10" s="515" customFormat="1" x14ac:dyDescent="0.2">
      <c r="B68" s="655" t="s">
        <v>173</v>
      </c>
      <c r="C68" s="656"/>
      <c r="D68" s="656"/>
      <c r="E68" s="656"/>
      <c r="F68" s="656"/>
      <c r="G68" s="656"/>
      <c r="H68" s="657"/>
      <c r="I68" s="396" t="s">
        <v>144</v>
      </c>
      <c r="J68" s="491" t="s">
        <v>177</v>
      </c>
    </row>
    <row r="69" spans="1:10" s="515" customFormat="1" ht="183" customHeight="1" x14ac:dyDescent="0.2">
      <c r="B69" s="507"/>
      <c r="C69" s="508"/>
      <c r="D69" s="508"/>
      <c r="E69" s="659" t="str">
        <f>E65</f>
        <v>VERIFICAR PROJETO DE ESTRUTURA DE CONCRETO ARMADO</v>
      </c>
      <c r="F69" s="660"/>
      <c r="G69" s="660"/>
      <c r="H69" s="661"/>
      <c r="I69" s="496">
        <f>12.2+7</f>
        <v>19.2</v>
      </c>
      <c r="J69" s="509" t="s">
        <v>846</v>
      </c>
    </row>
    <row r="70" spans="1:10" s="515" customFormat="1" x14ac:dyDescent="0.2">
      <c r="A70" s="516" t="str">
        <f>B67</f>
        <v>2.1.2.4</v>
      </c>
      <c r="B70" s="692" t="s">
        <v>178</v>
      </c>
      <c r="C70" s="693"/>
      <c r="D70" s="693"/>
      <c r="E70" s="693"/>
      <c r="F70" s="693"/>
      <c r="G70" s="693"/>
      <c r="H70" s="694"/>
      <c r="I70" s="510">
        <f>SUM(I69:I69)</f>
        <v>19.2</v>
      </c>
      <c r="J70" s="509"/>
    </row>
    <row r="71" spans="1:10" s="515" customFormat="1" ht="12.75" customHeight="1" x14ac:dyDescent="0.2">
      <c r="A71" s="516"/>
      <c r="B71" s="490" t="str">
        <f>'ORÇAMENTO_N DES'!B35</f>
        <v>2.1.2.5</v>
      </c>
      <c r="C71" s="490">
        <f>VLOOKUP(B71,'ORÇAMENTO_N DES'!B:M,5,FALSE)</f>
        <v>96545</v>
      </c>
      <c r="D71" s="654" t="str">
        <f>VLOOKUP(B71,'ORÇAMENTO_N DES'!B:M,6,FALSE)</f>
        <v>ARMAÇÃO DE BLOCO UTILIZANDO AÇO CA-50 DE 8 MM - MONTAGEM. AF_01/2024</v>
      </c>
      <c r="E71" s="654"/>
      <c r="F71" s="654"/>
      <c r="G71" s="654"/>
      <c r="H71" s="654"/>
      <c r="I71" s="654"/>
      <c r="J71" s="490" t="str">
        <f>VLOOKUP(B71,'ORÇAMENTO_N DES'!B:M,7,FALSE)</f>
        <v>KG</v>
      </c>
    </row>
    <row r="72" spans="1:10" s="515" customFormat="1" x14ac:dyDescent="0.2">
      <c r="A72" s="516"/>
      <c r="B72" s="655" t="s">
        <v>173</v>
      </c>
      <c r="C72" s="656"/>
      <c r="D72" s="656"/>
      <c r="E72" s="656"/>
      <c r="F72" s="656"/>
      <c r="G72" s="656"/>
      <c r="H72" s="657"/>
      <c r="I72" s="396" t="s">
        <v>144</v>
      </c>
      <c r="J72" s="491" t="s">
        <v>177</v>
      </c>
    </row>
    <row r="73" spans="1:10" s="515" customFormat="1" ht="125.25" customHeight="1" x14ac:dyDescent="0.2">
      <c r="A73" s="516"/>
      <c r="B73" s="507"/>
      <c r="C73" s="508"/>
      <c r="D73" s="508"/>
      <c r="E73" s="659" t="str">
        <f>E69</f>
        <v>VERIFICAR PROJETO DE ESTRUTURA DE CONCRETO ARMADO</v>
      </c>
      <c r="F73" s="660"/>
      <c r="G73" s="660"/>
      <c r="H73" s="661"/>
      <c r="I73" s="496">
        <f>19.8+23.4+3.6</f>
        <v>46.800000000000004</v>
      </c>
      <c r="J73" s="509" t="s">
        <v>846</v>
      </c>
    </row>
    <row r="74" spans="1:10" s="515" customFormat="1" x14ac:dyDescent="0.2">
      <c r="A74" s="516" t="str">
        <f>B71</f>
        <v>2.1.2.5</v>
      </c>
      <c r="B74" s="692" t="s">
        <v>178</v>
      </c>
      <c r="C74" s="693"/>
      <c r="D74" s="693"/>
      <c r="E74" s="693"/>
      <c r="F74" s="693"/>
      <c r="G74" s="693"/>
      <c r="H74" s="694"/>
      <c r="I74" s="510">
        <f>SUM(I73:I73)</f>
        <v>46.800000000000004</v>
      </c>
      <c r="J74" s="499"/>
    </row>
    <row r="75" spans="1:10" s="515" customFormat="1" ht="31.5" customHeight="1" x14ac:dyDescent="0.2">
      <c r="B75" s="490" t="str">
        <f>'ORÇAMENTO_N DES'!B36</f>
        <v>2.1.2.6</v>
      </c>
      <c r="C75" s="490">
        <f>VLOOKUP(B75,'ORÇAMENTO_N DES'!B:M,5,FALSE)</f>
        <v>94965</v>
      </c>
      <c r="D75" s="654" t="str">
        <f>VLOOKUP(B75,'ORÇAMENTO_N DES'!B:M,6,FALSE)</f>
        <v>CONCRETO FCK = 25MPA, TRAÇO 1:2,3:2,7 (EM MASSA SECA DE CIMENTO/ AREIA MÉDIA/ BRITA 1) - PREPARO MECÂNICO COM BETONEIRA 400 L. AF_05/2021</v>
      </c>
      <c r="E75" s="654"/>
      <c r="F75" s="654"/>
      <c r="G75" s="654"/>
      <c r="H75" s="654"/>
      <c r="I75" s="654"/>
      <c r="J75" s="490" t="str">
        <f>VLOOKUP(B75,'ORÇAMENTO_N DES'!B:M,7,FALSE)</f>
        <v>M3</v>
      </c>
    </row>
    <row r="76" spans="1:10" s="515" customFormat="1" ht="12.75" customHeight="1" x14ac:dyDescent="0.2">
      <c r="A76" s="516"/>
      <c r="B76" s="697" t="s">
        <v>173</v>
      </c>
      <c r="C76" s="697"/>
      <c r="D76" s="697"/>
      <c r="E76" s="690"/>
      <c r="F76" s="690"/>
      <c r="G76" s="690"/>
      <c r="H76" s="690"/>
      <c r="I76" s="396" t="s">
        <v>182</v>
      </c>
      <c r="J76" s="491" t="s">
        <v>177</v>
      </c>
    </row>
    <row r="77" spans="1:10" s="515" customFormat="1" ht="117" customHeight="1" x14ac:dyDescent="0.2">
      <c r="B77" s="504"/>
      <c r="C77" s="511"/>
      <c r="D77" s="512"/>
      <c r="E77" s="661" t="s">
        <v>847</v>
      </c>
      <c r="F77" s="691"/>
      <c r="G77" s="691"/>
      <c r="H77" s="691"/>
      <c r="I77" s="496">
        <v>1</v>
      </c>
      <c r="J77" s="500" t="s">
        <v>182</v>
      </c>
    </row>
    <row r="78" spans="1:10" s="515" customFormat="1" ht="12.75" customHeight="1" x14ac:dyDescent="0.2">
      <c r="A78" s="516" t="str">
        <f>B75</f>
        <v>2.1.2.6</v>
      </c>
      <c r="B78" s="695" t="s">
        <v>178</v>
      </c>
      <c r="C78" s="696"/>
      <c r="D78" s="696"/>
      <c r="E78" s="693"/>
      <c r="F78" s="693"/>
      <c r="G78" s="693"/>
      <c r="H78" s="694"/>
      <c r="I78" s="510">
        <f>SUM(I77:I77)</f>
        <v>1</v>
      </c>
      <c r="J78" s="499"/>
    </row>
    <row r="79" spans="1:10" s="515" customFormat="1" ht="12.75" customHeight="1" x14ac:dyDescent="0.2">
      <c r="B79" s="490" t="str">
        <f>'ORÇAMENTO_N DES'!B37</f>
        <v>2.1.2.7</v>
      </c>
      <c r="C79" s="490">
        <f>VLOOKUP(B79,'ORÇAMENTO_N DES'!B:M,5,FALSE)</f>
        <v>103670</v>
      </c>
      <c r="D79" s="654" t="str">
        <f>VLOOKUP(B79,'ORÇAMENTO_N DES'!B:M,6,FALSE)</f>
        <v>LANÇAMENTO COM USO DE BALDES, ADENSAMENTO E ACABAMENTO DE CONCRETO EM ESTRUTURAS. AF_02/2022</v>
      </c>
      <c r="E79" s="654"/>
      <c r="F79" s="654"/>
      <c r="G79" s="654"/>
      <c r="H79" s="654"/>
      <c r="I79" s="654"/>
      <c r="J79" s="490" t="str">
        <f>VLOOKUP(B79,'ORÇAMENTO_N DES'!B:M,7,FALSE)</f>
        <v>M3</v>
      </c>
    </row>
    <row r="80" spans="1:10" s="515" customFormat="1" ht="12.75" customHeight="1" x14ac:dyDescent="0.2">
      <c r="B80" s="655" t="s">
        <v>173</v>
      </c>
      <c r="C80" s="656"/>
      <c r="D80" s="656"/>
      <c r="E80" s="656"/>
      <c r="F80" s="656"/>
      <c r="G80" s="656"/>
      <c r="H80" s="657"/>
      <c r="I80" s="396" t="s">
        <v>182</v>
      </c>
      <c r="J80" s="491" t="s">
        <v>177</v>
      </c>
    </row>
    <row r="81" spans="1:10" s="515" customFormat="1" ht="12.75" customHeight="1" x14ac:dyDescent="0.2">
      <c r="B81" s="659" t="str">
        <f>E65</f>
        <v>VERIFICAR PROJETO DE ESTRUTURA DE CONCRETO ARMADO</v>
      </c>
      <c r="C81" s="660"/>
      <c r="D81" s="660"/>
      <c r="E81" s="660"/>
      <c r="F81" s="660"/>
      <c r="G81" s="660"/>
      <c r="H81" s="661"/>
      <c r="I81" s="496">
        <f>I77</f>
        <v>1</v>
      </c>
      <c r="J81" s="513" t="s">
        <v>182</v>
      </c>
    </row>
    <row r="82" spans="1:10" s="515" customFormat="1" ht="12.75" customHeight="1" x14ac:dyDescent="0.2">
      <c r="A82" s="516" t="str">
        <f>B79</f>
        <v>2.1.2.7</v>
      </c>
      <c r="B82" s="692" t="s">
        <v>178</v>
      </c>
      <c r="C82" s="693"/>
      <c r="D82" s="693"/>
      <c r="E82" s="693"/>
      <c r="F82" s="693"/>
      <c r="G82" s="693"/>
      <c r="H82" s="694"/>
      <c r="I82" s="510">
        <f>SUM(I81:I81)</f>
        <v>1</v>
      </c>
      <c r="J82" s="499"/>
    </row>
    <row r="83" spans="1:10" s="515" customFormat="1" ht="12.75" customHeight="1" x14ac:dyDescent="0.2">
      <c r="A83" s="516"/>
      <c r="B83" s="490" t="str">
        <f>'ORÇAMENTO_N DES'!B38</f>
        <v>2.1.2.8</v>
      </c>
      <c r="C83" s="490">
        <f>VLOOKUP(B83,'ORÇAMENTO_N DES'!B:M,5,FALSE)</f>
        <v>98557</v>
      </c>
      <c r="D83" s="654" t="str">
        <f>VLOOKUP(B83,'ORÇAMENTO_N DES'!B:M,6,FALSE)</f>
        <v>IMPERMEABILIZAÇÃO DE SUPERFÍCIE COM EMULSÃO ASFÁLTICA, 2 DEMÃOS. AF_09/2023</v>
      </c>
      <c r="E83" s="654"/>
      <c r="F83" s="654"/>
      <c r="G83" s="654"/>
      <c r="H83" s="654"/>
      <c r="I83" s="654"/>
      <c r="J83" s="490" t="str">
        <f>VLOOKUP(B83,'ORÇAMENTO_N DES'!B:M,7,FALSE)</f>
        <v>M2</v>
      </c>
    </row>
    <row r="84" spans="1:10" s="515" customFormat="1" ht="12.75" customHeight="1" x14ac:dyDescent="0.2">
      <c r="A84" s="516"/>
      <c r="B84" s="655" t="s">
        <v>173</v>
      </c>
      <c r="C84" s="656"/>
      <c r="D84" s="656"/>
      <c r="E84" s="656"/>
      <c r="F84" s="656"/>
      <c r="G84" s="656"/>
      <c r="H84" s="657"/>
      <c r="I84" s="396" t="s">
        <v>848</v>
      </c>
      <c r="J84" s="491" t="s">
        <v>177</v>
      </c>
    </row>
    <row r="85" spans="1:10" s="515" customFormat="1" ht="12.75" customHeight="1" x14ac:dyDescent="0.2">
      <c r="A85" s="516"/>
      <c r="B85" s="659" t="str">
        <f>E65</f>
        <v>VERIFICAR PROJETO DE ESTRUTURA DE CONCRETO ARMADO</v>
      </c>
      <c r="C85" s="660"/>
      <c r="D85" s="660"/>
      <c r="E85" s="660"/>
      <c r="F85" s="660"/>
      <c r="G85" s="660"/>
      <c r="H85" s="661"/>
      <c r="I85" s="496">
        <f>I66</f>
        <v>2.8</v>
      </c>
      <c r="J85" s="513" t="s">
        <v>849</v>
      </c>
    </row>
    <row r="86" spans="1:10" s="515" customFormat="1" ht="12.75" customHeight="1" x14ac:dyDescent="0.2">
      <c r="A86" s="516" t="str">
        <f>B83</f>
        <v>2.1.2.8</v>
      </c>
      <c r="B86" s="692" t="s">
        <v>178</v>
      </c>
      <c r="C86" s="693"/>
      <c r="D86" s="693"/>
      <c r="E86" s="693"/>
      <c r="F86" s="693"/>
      <c r="G86" s="693"/>
      <c r="H86" s="694"/>
      <c r="I86" s="510">
        <f>SUM(I85:I85)</f>
        <v>2.8</v>
      </c>
      <c r="J86" s="499"/>
    </row>
    <row r="87" spans="1:10" s="515" customFormat="1" ht="12.75" customHeight="1" x14ac:dyDescent="0.2">
      <c r="B87" s="490" t="str">
        <f>'ORÇAMENTO_N DES'!B39</f>
        <v>2.1.2.9</v>
      </c>
      <c r="C87" s="490">
        <f>VLOOKUP(B87,'ORÇAMENTO_N DES'!B:M,5,FALSE)</f>
        <v>93382</v>
      </c>
      <c r="D87" s="654" t="str">
        <f>VLOOKUP(B87,'ORÇAMENTO_N DES'!B:M,6,FALSE)</f>
        <v>REATERRO MANUAL DE VALAS, COM COMPACTADOR DE SOLOS DE PERCUSSÃO. AF_08/2023</v>
      </c>
      <c r="E87" s="654"/>
      <c r="F87" s="654"/>
      <c r="G87" s="654"/>
      <c r="H87" s="654"/>
      <c r="I87" s="654"/>
      <c r="J87" s="490" t="str">
        <f>VLOOKUP(B87,'ORÇAMENTO_N DES'!B:M,7,FALSE)</f>
        <v>M3</v>
      </c>
    </row>
    <row r="88" spans="1:10" s="515" customFormat="1" ht="25.5" x14ac:dyDescent="0.2">
      <c r="B88" s="690" t="s">
        <v>173</v>
      </c>
      <c r="C88" s="690"/>
      <c r="D88" s="690"/>
      <c r="E88" s="690"/>
      <c r="F88" s="690"/>
      <c r="G88" s="396" t="s">
        <v>850</v>
      </c>
      <c r="H88" s="396" t="s">
        <v>839</v>
      </c>
      <c r="I88" s="101" t="s">
        <v>182</v>
      </c>
      <c r="J88" s="491" t="s">
        <v>177</v>
      </c>
    </row>
    <row r="89" spans="1:10" s="515" customFormat="1" ht="12.75" customHeight="1" x14ac:dyDescent="0.2">
      <c r="B89" s="691" t="str">
        <f>E65</f>
        <v>VERIFICAR PROJETO DE ESTRUTURA DE CONCRETO ARMADO</v>
      </c>
      <c r="C89" s="691"/>
      <c r="D89" s="691"/>
      <c r="E89" s="691"/>
      <c r="F89" s="691"/>
      <c r="G89" s="243">
        <f>I58</f>
        <v>1.6</v>
      </c>
      <c r="H89" s="243">
        <f>I78</f>
        <v>1</v>
      </c>
      <c r="I89" s="502">
        <f>G89-H89</f>
        <v>0.60000000000000009</v>
      </c>
      <c r="J89" s="514" t="s">
        <v>851</v>
      </c>
    </row>
    <row r="90" spans="1:10" s="515" customFormat="1" ht="12.75" customHeight="1" x14ac:dyDescent="0.2">
      <c r="A90" s="516" t="str">
        <f>B87</f>
        <v>2.1.2.9</v>
      </c>
      <c r="B90" s="692" t="s">
        <v>178</v>
      </c>
      <c r="C90" s="693"/>
      <c r="D90" s="693"/>
      <c r="E90" s="693"/>
      <c r="F90" s="693"/>
      <c r="G90" s="693"/>
      <c r="H90" s="694"/>
      <c r="I90" s="498">
        <f>SUM(I89)</f>
        <v>0.60000000000000009</v>
      </c>
      <c r="J90" s="499"/>
    </row>
    <row r="91" spans="1:10" ht="12" customHeight="1" x14ac:dyDescent="0.2">
      <c r="B91" s="122" t="str">
        <f>'ORÇAMENTO_N DES'!B41</f>
        <v>3.</v>
      </c>
      <c r="C91" s="113"/>
      <c r="D91" s="114" t="str">
        <f>'ORÇAMENTO_N DES'!G41</f>
        <v>ESTRUTURA METÁLICA</v>
      </c>
      <c r="E91" s="114"/>
      <c r="F91" s="114"/>
      <c r="G91" s="114"/>
      <c r="H91" s="114"/>
      <c r="I91" s="114"/>
      <c r="J91" s="115"/>
    </row>
    <row r="92" spans="1:10" ht="39.75" customHeight="1" x14ac:dyDescent="0.2">
      <c r="A92" s="313"/>
      <c r="B92" s="108" t="str">
        <f>'ORÇAMENTO_N DES'!B42</f>
        <v>3.1</v>
      </c>
      <c r="C92" s="490">
        <f>VLOOKUP(B92,'ORÇAMENTO_N DES'!B:M,5,FALSE)</f>
        <v>901000135</v>
      </c>
      <c r="D92" s="654" t="str">
        <f>VLOOKUP(B92,'ORÇAMENTO_N DES'!B:M,6,FALSE)</f>
        <v>FORNECIMENTO, MONTAGEM E INSTALACAO DE ESTRUTURA METALICA, COM LIGACAO SOLDADAS, INCLUSOS PERFIS METALICOS, CHAPA METALICAS, MAO DE OBRA E TRANSPORTE COM GUINDALTO - FORNECIMENTO E INSTALACAO</v>
      </c>
      <c r="E92" s="654"/>
      <c r="F92" s="654"/>
      <c r="G92" s="654"/>
      <c r="H92" s="654"/>
      <c r="I92" s="654"/>
      <c r="J92" s="490" t="str">
        <f>VLOOKUP(B92,'ORÇAMENTO_N DES'!B:M,7,FALSE)</f>
        <v>KG</v>
      </c>
    </row>
    <row r="93" spans="1:10" x14ac:dyDescent="0.2">
      <c r="A93" s="313"/>
      <c r="B93" s="686" t="s">
        <v>173</v>
      </c>
      <c r="C93" s="687"/>
      <c r="D93" s="687"/>
      <c r="E93" s="687"/>
      <c r="F93" s="687"/>
      <c r="G93" s="688"/>
      <c r="H93" s="689" t="s">
        <v>871</v>
      </c>
      <c r="I93" s="689"/>
      <c r="J93" s="219" t="s">
        <v>177</v>
      </c>
    </row>
    <row r="94" spans="1:10" x14ac:dyDescent="0.2">
      <c r="A94" s="313"/>
      <c r="B94" s="680" t="s">
        <v>882</v>
      </c>
      <c r="C94" s="681"/>
      <c r="D94" s="681"/>
      <c r="E94" s="681"/>
      <c r="F94" s="681"/>
      <c r="G94" s="682"/>
      <c r="H94" s="678">
        <f>40.62+3.69</f>
        <v>44.309999999999995</v>
      </c>
      <c r="I94" s="679"/>
      <c r="J94" s="528" t="str">
        <f>H93</f>
        <v>PESO</v>
      </c>
    </row>
    <row r="95" spans="1:10" x14ac:dyDescent="0.2">
      <c r="A95" s="313" t="str">
        <f>VLOOKUP(B92,'ORÇAMENTO_N DES'!B:P,4,0)</f>
        <v>3.1</v>
      </c>
      <c r="B95" s="675" t="s">
        <v>178</v>
      </c>
      <c r="C95" s="676"/>
      <c r="D95" s="676"/>
      <c r="E95" s="676"/>
      <c r="F95" s="676"/>
      <c r="G95" s="677"/>
      <c r="H95" s="672">
        <f>SUM(H94:I94)</f>
        <v>44.309999999999995</v>
      </c>
      <c r="I95" s="673"/>
      <c r="J95" s="110"/>
    </row>
    <row r="96" spans="1:10" x14ac:dyDescent="0.2">
      <c r="A96" s="313"/>
      <c r="B96" s="108" t="str">
        <f>'ORÇAMENTO_N DES'!B43</f>
        <v>3.2</v>
      </c>
      <c r="C96" s="490">
        <f>VLOOKUP(B96,'ORÇAMENTO_N DES'!B:M,5,FALSE)</f>
        <v>100774</v>
      </c>
      <c r="D96" s="654" t="str">
        <f>VLOOKUP(B96,'ORÇAMENTO_N DES'!B:M,6,FALSE)</f>
        <v>ESTRUTURA TRELIÇADA DE COBERTURA, TIPO SHED, COM LIGAÇÕES SOLDADAS, INCLUSOS PERFIS METÁLICOS, CHAPAS METÁLICAS, MÃO DE OBRA E TRANSPORTE COM GUINDASTE - FORNECIMENTO E INSTALAÇÃO. AF_01/2020_PSA</v>
      </c>
      <c r="E96" s="654"/>
      <c r="F96" s="654"/>
      <c r="G96" s="654"/>
      <c r="H96" s="654"/>
      <c r="I96" s="654"/>
      <c r="J96" s="490" t="str">
        <f>VLOOKUP(B96,'ORÇAMENTO_N DES'!B:M,7,FALSE)</f>
        <v>KG</v>
      </c>
    </row>
    <row r="97" spans="1:10" x14ac:dyDescent="0.2">
      <c r="A97" s="313"/>
      <c r="B97" s="686" t="s">
        <v>173</v>
      </c>
      <c r="C97" s="687"/>
      <c r="D97" s="687"/>
      <c r="E97" s="687"/>
      <c r="F97" s="687"/>
      <c r="G97" s="688"/>
      <c r="H97" s="689" t="s">
        <v>871</v>
      </c>
      <c r="I97" s="689"/>
      <c r="J97" s="219" t="s">
        <v>177</v>
      </c>
    </row>
    <row r="98" spans="1:10" x14ac:dyDescent="0.2">
      <c r="A98" s="313"/>
      <c r="B98" s="680" t="s">
        <v>883</v>
      </c>
      <c r="C98" s="681"/>
      <c r="D98" s="681"/>
      <c r="E98" s="681"/>
      <c r="F98" s="681"/>
      <c r="G98" s="682"/>
      <c r="H98" s="678">
        <f>16.72+9.05+3.84+7.16+16.77+42.29+36.65</f>
        <v>132.47999999999999</v>
      </c>
      <c r="I98" s="679"/>
      <c r="J98" s="528" t="str">
        <f>H97</f>
        <v>PESO</v>
      </c>
    </row>
    <row r="99" spans="1:10" x14ac:dyDescent="0.2">
      <c r="A99" s="313" t="str">
        <f>VLOOKUP(B96,'ORÇAMENTO_N DES'!B:P,4,0)</f>
        <v>3.2</v>
      </c>
      <c r="B99" s="675" t="s">
        <v>178</v>
      </c>
      <c r="C99" s="676"/>
      <c r="D99" s="676"/>
      <c r="E99" s="676"/>
      <c r="F99" s="676"/>
      <c r="G99" s="677"/>
      <c r="H99" s="672">
        <f>SUM(H98:I98)</f>
        <v>132.47999999999999</v>
      </c>
      <c r="I99" s="673"/>
      <c r="J99" s="110"/>
    </row>
    <row r="100" spans="1:10" ht="39.75" customHeight="1" x14ac:dyDescent="0.2">
      <c r="A100" s="313"/>
      <c r="B100" s="108" t="str">
        <f>'ORÇAMENTO_N DES'!B44</f>
        <v>3.3</v>
      </c>
      <c r="C100" s="490" t="str">
        <f>VLOOKUP(B100,'ORÇAMENTO_N DES'!B:M,5,FALSE)</f>
        <v>CPU03</v>
      </c>
      <c r="D100" s="654" t="str">
        <f>VLOOKUP(B100,'ORÇAMENTO_N DES'!B:M,6,FALSE)</f>
        <v xml:space="preserve">FIXAÇÃO ENTRE BLOCO DE CONCRETO ARMADO E PILAR METÁLICO, COM PLACA DE CHAPA GROSSA E CHUMBADOR - FORNECIMENTO E INSTALAÇÃO </v>
      </c>
      <c r="E100" s="654"/>
      <c r="F100" s="654"/>
      <c r="G100" s="654"/>
      <c r="H100" s="654"/>
      <c r="I100" s="654"/>
      <c r="J100" s="490" t="str">
        <f>VLOOKUP(B100,'ORÇAMENTO_N DES'!B:M,7,FALSE)</f>
        <v>UN</v>
      </c>
    </row>
    <row r="101" spans="1:10" x14ac:dyDescent="0.2">
      <c r="A101" s="313"/>
      <c r="B101" s="655" t="s">
        <v>173</v>
      </c>
      <c r="C101" s="656"/>
      <c r="D101" s="656"/>
      <c r="E101" s="656"/>
      <c r="F101" s="656"/>
      <c r="G101" s="657"/>
      <c r="H101" s="658" t="s">
        <v>871</v>
      </c>
      <c r="I101" s="658"/>
      <c r="J101" s="491" t="s">
        <v>177</v>
      </c>
    </row>
    <row r="102" spans="1:10" x14ac:dyDescent="0.2">
      <c r="A102" s="313"/>
      <c r="B102" s="659" t="s">
        <v>884</v>
      </c>
      <c r="C102" s="660"/>
      <c r="D102" s="660"/>
      <c r="E102" s="660"/>
      <c r="F102" s="660"/>
      <c r="G102" s="661"/>
      <c r="H102" s="662">
        <v>3</v>
      </c>
      <c r="I102" s="663"/>
      <c r="J102" s="509" t="str">
        <f>H101</f>
        <v>PESO</v>
      </c>
    </row>
    <row r="103" spans="1:10" x14ac:dyDescent="0.2">
      <c r="A103" s="313" t="str">
        <f>VLOOKUP(B100,'ORÇAMENTO_N DES'!B:P,4,0)</f>
        <v>3.3</v>
      </c>
      <c r="B103" s="649" t="s">
        <v>178</v>
      </c>
      <c r="C103" s="650"/>
      <c r="D103" s="650"/>
      <c r="E103" s="650"/>
      <c r="F103" s="650"/>
      <c r="G103" s="651"/>
      <c r="H103" s="652">
        <f>SUM(H102:I102)</f>
        <v>3</v>
      </c>
      <c r="I103" s="653"/>
      <c r="J103" s="499"/>
    </row>
    <row r="104" spans="1:10" s="515" customFormat="1" ht="12" customHeight="1" x14ac:dyDescent="0.2">
      <c r="B104" s="122" t="str">
        <f>'ORÇAMENTO_N DES'!B46</f>
        <v>4.</v>
      </c>
      <c r="C104" s="518"/>
      <c r="D104" s="114" t="str">
        <f>'ORÇAMENTO_N DES'!G46</f>
        <v>COBERTURA</v>
      </c>
      <c r="E104" s="114"/>
      <c r="F104" s="114"/>
      <c r="G104" s="114"/>
      <c r="H104" s="114"/>
      <c r="I104" s="114"/>
      <c r="J104" s="115"/>
    </row>
    <row r="105" spans="1:10" s="515" customFormat="1" ht="39.75" customHeight="1" x14ac:dyDescent="0.2">
      <c r="A105" s="516"/>
      <c r="B105" s="489" t="str">
        <f>'ORÇAMENTO_N DES'!B47</f>
        <v>4.1</v>
      </c>
      <c r="C105" s="490">
        <f>VLOOKUP(B105,'ORÇAMENTO_N DES'!B:M,5,FALSE)</f>
        <v>94216</v>
      </c>
      <c r="D105" s="654" t="str">
        <f>VLOOKUP(B105,'ORÇAMENTO_N DES'!B:M,6,FALSE)</f>
        <v>TELHAMENTO COM TELHA METÁLICA TERMOACÚSTICA E = 30 MM, COM ATÉ 2 ÁGUAS, INCLUSO IÇAMENTO. AF_07/2019</v>
      </c>
      <c r="E105" s="654"/>
      <c r="F105" s="654"/>
      <c r="G105" s="654"/>
      <c r="H105" s="654"/>
      <c r="I105" s="654"/>
      <c r="J105" s="490" t="str">
        <f>VLOOKUP(B105,'ORÇAMENTO_N DES'!B:M,7,FALSE)</f>
        <v>M2</v>
      </c>
    </row>
    <row r="106" spans="1:10" s="515" customFormat="1" x14ac:dyDescent="0.2">
      <c r="A106" s="516"/>
      <c r="B106" s="655" t="s">
        <v>173</v>
      </c>
      <c r="C106" s="656"/>
      <c r="D106" s="656"/>
      <c r="E106" s="656"/>
      <c r="F106" s="656"/>
      <c r="G106" s="657"/>
      <c r="H106" s="658" t="s">
        <v>176</v>
      </c>
      <c r="I106" s="658"/>
      <c r="J106" s="491" t="s">
        <v>177</v>
      </c>
    </row>
    <row r="107" spans="1:10" s="515" customFormat="1" x14ac:dyDescent="0.2">
      <c r="A107" s="516"/>
      <c r="B107" s="659"/>
      <c r="C107" s="660"/>
      <c r="D107" s="660"/>
      <c r="E107" s="660"/>
      <c r="F107" s="660"/>
      <c r="G107" s="661"/>
      <c r="H107" s="662">
        <v>6.82</v>
      </c>
      <c r="I107" s="663"/>
      <c r="J107" s="509" t="str">
        <f>H106</f>
        <v>ÁREA</v>
      </c>
    </row>
    <row r="108" spans="1:10" s="515" customFormat="1" x14ac:dyDescent="0.2">
      <c r="A108" s="516" t="str">
        <f>VLOOKUP(B105,'ORÇAMENTO_N DES'!B:P,4,0)</f>
        <v>4.1</v>
      </c>
      <c r="B108" s="649" t="s">
        <v>178</v>
      </c>
      <c r="C108" s="650"/>
      <c r="D108" s="650"/>
      <c r="E108" s="650"/>
      <c r="F108" s="650"/>
      <c r="G108" s="651"/>
      <c r="H108" s="652">
        <f>SUM(H107:I107)</f>
        <v>6.82</v>
      </c>
      <c r="I108" s="653"/>
      <c r="J108" s="499"/>
    </row>
    <row r="109" spans="1:10" s="515" customFormat="1" ht="39.75" customHeight="1" x14ac:dyDescent="0.2">
      <c r="A109" s="516"/>
      <c r="B109" s="489" t="str">
        <f>'ORÇAMENTO_N DES'!B48</f>
        <v>4.2</v>
      </c>
      <c r="C109" s="490">
        <f>VLOOKUP(B109,'ORÇAMENTO_N DES'!B:M,5,FALSE)</f>
        <v>94231</v>
      </c>
      <c r="D109" s="654" t="str">
        <f>VLOOKUP(B109,'ORÇAMENTO_N DES'!B:M,6,FALSE)</f>
        <v>RUFO EM CHAPA DE AÇO GALVANIZADO NÚMERO 24, CORTE DE 25 CM, INCLUSO TRANSPORTE VERTICAL. AF_07/2019</v>
      </c>
      <c r="E109" s="654"/>
      <c r="F109" s="654"/>
      <c r="G109" s="654"/>
      <c r="H109" s="654"/>
      <c r="I109" s="654"/>
      <c r="J109" s="490" t="str">
        <f>VLOOKUP(B109,'ORÇAMENTO_N DES'!B:M,7,FALSE)</f>
        <v>M</v>
      </c>
    </row>
    <row r="110" spans="1:10" s="515" customFormat="1" x14ac:dyDescent="0.2">
      <c r="A110" s="516"/>
      <c r="B110" s="655" t="s">
        <v>173</v>
      </c>
      <c r="C110" s="656"/>
      <c r="D110" s="656"/>
      <c r="E110" s="656"/>
      <c r="F110" s="656"/>
      <c r="G110" s="657"/>
      <c r="H110" s="658" t="s">
        <v>180</v>
      </c>
      <c r="I110" s="658"/>
      <c r="J110" s="491" t="s">
        <v>177</v>
      </c>
    </row>
    <row r="111" spans="1:10" s="515" customFormat="1" x14ac:dyDescent="0.2">
      <c r="A111" s="516"/>
      <c r="B111" s="659"/>
      <c r="C111" s="660"/>
      <c r="D111" s="660"/>
      <c r="E111" s="660"/>
      <c r="F111" s="660"/>
      <c r="G111" s="661"/>
      <c r="H111" s="662">
        <f>2.1*2+3.45</f>
        <v>7.65</v>
      </c>
      <c r="I111" s="663"/>
      <c r="J111" s="509" t="str">
        <f>H110</f>
        <v>COMPRIMENTO</v>
      </c>
    </row>
    <row r="112" spans="1:10" s="515" customFormat="1" x14ac:dyDescent="0.2">
      <c r="A112" s="516" t="str">
        <f>VLOOKUP(B109,'ORÇAMENTO_N DES'!B:P,4,0)</f>
        <v>4.2</v>
      </c>
      <c r="B112" s="649" t="s">
        <v>178</v>
      </c>
      <c r="C112" s="650"/>
      <c r="D112" s="650"/>
      <c r="E112" s="650"/>
      <c r="F112" s="650"/>
      <c r="G112" s="651"/>
      <c r="H112" s="652">
        <f>SUM(H111:I111)</f>
        <v>7.65</v>
      </c>
      <c r="I112" s="653"/>
      <c r="J112" s="499"/>
    </row>
    <row r="113" spans="1:10" ht="12" customHeight="1" x14ac:dyDescent="0.2">
      <c r="B113" s="400" t="str">
        <f>'ORÇAMENTO_N DES'!B50</f>
        <v>5.</v>
      </c>
      <c r="C113" s="113"/>
      <c r="D113" s="114" t="str">
        <f>'ORÇAMENTO_N DES'!G50</f>
        <v>PISO</v>
      </c>
      <c r="E113" s="114"/>
      <c r="F113" s="114"/>
      <c r="G113" s="114"/>
      <c r="H113" s="114"/>
      <c r="I113" s="114"/>
      <c r="J113" s="115"/>
    </row>
    <row r="114" spans="1:10" x14ac:dyDescent="0.2">
      <c r="B114" s="112" t="str">
        <f>'ORÇAMENTO_N DES'!B51</f>
        <v>5.1</v>
      </c>
      <c r="C114" s="113"/>
      <c r="D114" s="114" t="str">
        <f>'ORÇAMENTO_N DES'!G51</f>
        <v>PISO INTERTRAVADO</v>
      </c>
      <c r="E114" s="114"/>
      <c r="F114" s="114"/>
      <c r="G114" s="114"/>
      <c r="H114" s="114"/>
      <c r="I114" s="114"/>
      <c r="J114" s="115"/>
    </row>
    <row r="115" spans="1:10" ht="12.75" customHeight="1" x14ac:dyDescent="0.2">
      <c r="B115" s="108" t="str">
        <f>'ORÇAMENTO_N DES'!B52</f>
        <v>5.1.1</v>
      </c>
      <c r="C115" s="143">
        <f>'ORÇAMENTO_N DES'!F52</f>
        <v>100575</v>
      </c>
      <c r="D115" s="683" t="str">
        <f>'ORÇAMENTO_N DES'!G52</f>
        <v>REGULARIZAÇÃO DE SUPERFÍCIES COM MOTONIVELADORA. AF_11/2019</v>
      </c>
      <c r="E115" s="684"/>
      <c r="F115" s="684"/>
      <c r="G115" s="684"/>
      <c r="H115" s="684"/>
      <c r="I115" s="685"/>
      <c r="J115" s="143" t="s">
        <v>44</v>
      </c>
    </row>
    <row r="116" spans="1:10" x14ac:dyDescent="0.2">
      <c r="B116" s="247" t="s">
        <v>173</v>
      </c>
      <c r="C116" s="664" t="s">
        <v>179</v>
      </c>
      <c r="D116" s="665"/>
      <c r="E116" s="665"/>
      <c r="F116" s="666"/>
      <c r="G116" s="247" t="s">
        <v>180</v>
      </c>
      <c r="H116" s="247" t="s">
        <v>174</v>
      </c>
      <c r="I116" s="240" t="s">
        <v>176</v>
      </c>
      <c r="J116" s="396" t="s">
        <v>177</v>
      </c>
    </row>
    <row r="117" spans="1:10" x14ac:dyDescent="0.2">
      <c r="B117" s="667" t="s">
        <v>178</v>
      </c>
      <c r="C117" s="668"/>
      <c r="D117" s="668"/>
      <c r="E117" s="668"/>
      <c r="F117" s="669"/>
      <c r="G117" s="243">
        <v>5.78</v>
      </c>
      <c r="H117" s="243">
        <v>2.9</v>
      </c>
      <c r="I117" s="241">
        <f>G117*H117</f>
        <v>16.762</v>
      </c>
      <c r="J117" s="252" t="s">
        <v>181</v>
      </c>
    </row>
    <row r="118" spans="1:10" x14ac:dyDescent="0.2">
      <c r="A118" s="313" t="str">
        <f>VLOOKUP(B115,'ORÇAMENTO_N DES'!B:P,4,0)</f>
        <v>5.1.1</v>
      </c>
      <c r="B118" s="670" t="s">
        <v>178</v>
      </c>
      <c r="C118" s="671"/>
      <c r="D118" s="671"/>
      <c r="E118" s="671"/>
      <c r="F118" s="671"/>
      <c r="G118" s="748"/>
      <c r="H118" s="672">
        <f>I117</f>
        <v>16.762</v>
      </c>
      <c r="I118" s="673"/>
      <c r="J118" s="396"/>
    </row>
    <row r="119" spans="1:10" ht="27" customHeight="1" x14ac:dyDescent="0.2">
      <c r="B119" s="108" t="str">
        <f>'ORÇAMENTO_N DES'!B53</f>
        <v>5.1.2</v>
      </c>
      <c r="C119" s="143">
        <f>'ORÇAMENTO_N DES'!F53</f>
        <v>100947</v>
      </c>
      <c r="D119" s="683" t="str">
        <f>'ORÇAMENTO_N DES'!G53</f>
        <v>TRANSPORTE COM CAMINHÃO CARROCERIA 9T, EM VIA URBANA PAVIMENTADA, DMT ATÉ 30KM (UNIDADE: TXKM). AF_07/2020</v>
      </c>
      <c r="E119" s="684"/>
      <c r="F119" s="684"/>
      <c r="G119" s="684"/>
      <c r="H119" s="684"/>
      <c r="I119" s="685"/>
      <c r="J119" s="143" t="str">
        <f>'ORÇAMENTO_N DES'!H53</f>
        <v>TXKM</v>
      </c>
    </row>
    <row r="120" spans="1:10" x14ac:dyDescent="0.2">
      <c r="B120" s="247" t="s">
        <v>173</v>
      </c>
      <c r="C120" s="664"/>
      <c r="D120" s="665"/>
      <c r="E120" s="665"/>
      <c r="F120" s="666"/>
      <c r="G120" s="247" t="s">
        <v>863</v>
      </c>
      <c r="H120" s="247" t="s">
        <v>827</v>
      </c>
      <c r="I120" s="240" t="s">
        <v>178</v>
      </c>
      <c r="J120" s="396" t="s">
        <v>177</v>
      </c>
    </row>
    <row r="121" spans="1:10" x14ac:dyDescent="0.2">
      <c r="B121" s="667" t="s">
        <v>178</v>
      </c>
      <c r="C121" s="668"/>
      <c r="D121" s="668"/>
      <c r="E121" s="668"/>
      <c r="F121" s="669"/>
      <c r="G121" s="243">
        <f>(H126*2.4*50)/1000</f>
        <v>1.9836</v>
      </c>
      <c r="H121" s="243">
        <v>100</v>
      </c>
      <c r="I121" s="241">
        <f>G121*H121</f>
        <v>198.36</v>
      </c>
      <c r="J121" s="252" t="str">
        <f>J119</f>
        <v>TXKM</v>
      </c>
    </row>
    <row r="122" spans="1:10" x14ac:dyDescent="0.2">
      <c r="A122" s="313" t="str">
        <f>VLOOKUP(B119,'ORÇAMENTO_N DES'!B:P,4,0)</f>
        <v>5.1.2</v>
      </c>
      <c r="B122" s="670" t="s">
        <v>178</v>
      </c>
      <c r="C122" s="671"/>
      <c r="D122" s="671"/>
      <c r="E122" s="671"/>
      <c r="F122" s="671"/>
      <c r="G122" s="671"/>
      <c r="H122" s="672">
        <f>I121</f>
        <v>198.36</v>
      </c>
      <c r="I122" s="673"/>
      <c r="J122" s="396"/>
    </row>
    <row r="123" spans="1:10" ht="27" customHeight="1" x14ac:dyDescent="0.2">
      <c r="B123" s="108" t="str">
        <f>'ORÇAMENTO_N DES'!B54</f>
        <v>5.1.3</v>
      </c>
      <c r="C123" s="143">
        <f>'ORÇAMENTO_N DES'!F54</f>
        <v>92397</v>
      </c>
      <c r="D123" s="683" t="str">
        <f>'ORÇAMENTO_N DES'!G54</f>
        <v>EXECUÇÃO DE PAVIMENTO EM PISO INTERTRAVADO, COM BLOCO RETANGULAR COR NATURAL DE 20 X 10 CM, ESPESSURA 6 CM. AF_10/2022</v>
      </c>
      <c r="E123" s="684"/>
      <c r="F123" s="684"/>
      <c r="G123" s="684"/>
      <c r="H123" s="684"/>
      <c r="I123" s="685"/>
      <c r="J123" s="143" t="s">
        <v>44</v>
      </c>
    </row>
    <row r="124" spans="1:10" x14ac:dyDescent="0.2">
      <c r="B124" s="247" t="s">
        <v>173</v>
      </c>
      <c r="C124" s="664" t="s">
        <v>179</v>
      </c>
      <c r="D124" s="665"/>
      <c r="E124" s="665"/>
      <c r="F124" s="666"/>
      <c r="G124" s="247" t="s">
        <v>180</v>
      </c>
      <c r="H124" s="247" t="s">
        <v>174</v>
      </c>
      <c r="I124" s="240" t="s">
        <v>176</v>
      </c>
      <c r="J124" s="396" t="s">
        <v>177</v>
      </c>
    </row>
    <row r="125" spans="1:10" x14ac:dyDescent="0.2">
      <c r="B125" s="667" t="s">
        <v>178</v>
      </c>
      <c r="C125" s="668"/>
      <c r="D125" s="668"/>
      <c r="E125" s="668"/>
      <c r="F125" s="669"/>
      <c r="G125" s="243">
        <v>5.7</v>
      </c>
      <c r="H125" s="243">
        <v>2.9</v>
      </c>
      <c r="I125" s="241">
        <f>G125*H125</f>
        <v>16.53</v>
      </c>
      <c r="J125" s="252" t="s">
        <v>181</v>
      </c>
    </row>
    <row r="126" spans="1:10" x14ac:dyDescent="0.2">
      <c r="A126" s="313" t="str">
        <f>VLOOKUP(B123,'ORÇAMENTO_N DES'!B:P,4,0)</f>
        <v>5.1.3</v>
      </c>
      <c r="B126" s="670" t="s">
        <v>178</v>
      </c>
      <c r="C126" s="671"/>
      <c r="D126" s="671"/>
      <c r="E126" s="671"/>
      <c r="F126" s="671"/>
      <c r="G126" s="671"/>
      <c r="H126" s="672">
        <f>I125</f>
        <v>16.53</v>
      </c>
      <c r="I126" s="673"/>
      <c r="J126" s="396"/>
    </row>
    <row r="127" spans="1:10" ht="12" customHeight="1" x14ac:dyDescent="0.2">
      <c r="B127" s="122" t="str">
        <f>'ORÇAMENTO_N DES'!B56</f>
        <v>6.</v>
      </c>
      <c r="C127" s="113"/>
      <c r="D127" s="114" t="str">
        <f>'ORÇAMENTO_N DES'!G56</f>
        <v>URBANIZAÇÃO</v>
      </c>
      <c r="E127" s="114"/>
      <c r="F127" s="114"/>
      <c r="G127" s="114"/>
      <c r="H127" s="114"/>
      <c r="I127" s="114"/>
      <c r="J127" s="115"/>
    </row>
    <row r="128" spans="1:10" x14ac:dyDescent="0.2">
      <c r="A128" s="313"/>
      <c r="B128" s="108" t="str">
        <f>'ORÇAMENTO_N DES'!B57</f>
        <v>6.1</v>
      </c>
      <c r="C128" s="143">
        <f>'ORÇAMENTO_N DES'!F57</f>
        <v>103946</v>
      </c>
      <c r="D128" s="683" t="str">
        <f>'ORÇAMENTO_N DES'!G57</f>
        <v>PLANTIO DE GRAMA ESMERALDA OU SÃO CARLOS OU CURITIBANA, EM PLACAS. AF_05/2022</v>
      </c>
      <c r="E128" s="684"/>
      <c r="F128" s="684"/>
      <c r="G128" s="684"/>
      <c r="H128" s="684"/>
      <c r="I128" s="685"/>
      <c r="J128" s="143" t="str">
        <f>'ORÇAMENTO_N DES'!H57</f>
        <v>M2</v>
      </c>
    </row>
    <row r="129" spans="1:10" x14ac:dyDescent="0.2">
      <c r="A129" s="313"/>
      <c r="B129" s="686" t="s">
        <v>173</v>
      </c>
      <c r="C129" s="687"/>
      <c r="D129" s="687"/>
      <c r="E129" s="687"/>
      <c r="F129" s="687"/>
      <c r="G129" s="688"/>
      <c r="H129" s="689" t="s">
        <v>176</v>
      </c>
      <c r="I129" s="689"/>
      <c r="J129" s="219" t="s">
        <v>177</v>
      </c>
    </row>
    <row r="130" spans="1:10" x14ac:dyDescent="0.2">
      <c r="A130" s="313"/>
      <c r="B130" s="680"/>
      <c r="C130" s="681"/>
      <c r="D130" s="681"/>
      <c r="E130" s="681"/>
      <c r="F130" s="681"/>
      <c r="G130" s="682"/>
      <c r="H130" s="678">
        <f>3*2*2</f>
        <v>12</v>
      </c>
      <c r="I130" s="679"/>
      <c r="J130" s="109" t="s">
        <v>176</v>
      </c>
    </row>
    <row r="131" spans="1:10" x14ac:dyDescent="0.2">
      <c r="A131" s="313" t="str">
        <f>VLOOKUP(B128,'ORÇAMENTO_N DES'!B:P,4,0)</f>
        <v>6.1</v>
      </c>
      <c r="B131" s="675" t="s">
        <v>178</v>
      </c>
      <c r="C131" s="676"/>
      <c r="D131" s="676"/>
      <c r="E131" s="676"/>
      <c r="F131" s="676"/>
      <c r="G131" s="677"/>
      <c r="H131" s="672">
        <f>SUM(H130)</f>
        <v>12</v>
      </c>
      <c r="I131" s="673"/>
      <c r="J131" s="110"/>
    </row>
    <row r="132" spans="1:10" ht="12.75" customHeight="1" x14ac:dyDescent="0.2">
      <c r="B132" s="133" t="str">
        <f>'ORÇAMENTO_N DES'!B59</f>
        <v>7.</v>
      </c>
      <c r="C132" s="125"/>
      <c r="D132" s="674" t="str">
        <f>'ORÇAMENTO_N DES'!G59</f>
        <v>SERVIÇOS COMPLEMENTARES</v>
      </c>
      <c r="E132" s="674"/>
      <c r="F132" s="674"/>
      <c r="G132" s="674"/>
      <c r="H132" s="674"/>
      <c r="I132" s="674"/>
      <c r="J132" s="126"/>
    </row>
    <row r="133" spans="1:10" s="515" customFormat="1" ht="39.75" customHeight="1" x14ac:dyDescent="0.2">
      <c r="A133" s="516"/>
      <c r="B133" s="489" t="str">
        <f>'ORÇAMENTO_N DES'!B60</f>
        <v>7.1</v>
      </c>
      <c r="C133" s="490">
        <f>VLOOKUP(B133,'ORÇAMENTO_N DES'!B:M,5,FALSE)</f>
        <v>100720</v>
      </c>
      <c r="D133" s="654" t="str">
        <f>VLOOKUP(B133,'ORÇAMENTO_N DES'!B:M,6,FALSE)</f>
        <v>PINTURA COM TINTA ALQUÍDICA DE FUNDO (TIPO ZARCÃO) APLICADA A ROLO OU PINCEL SOBRE PERFIL METÁLICO EXECUTADO EM FÁBRICA (POR DEMÃO). AF_01/2020</v>
      </c>
      <c r="E133" s="654"/>
      <c r="F133" s="654"/>
      <c r="G133" s="654"/>
      <c r="H133" s="654"/>
      <c r="I133" s="654"/>
      <c r="J133" s="490" t="str">
        <f>VLOOKUP(B133,'ORÇAMENTO_N DES'!B:M,7,FALSE)</f>
        <v>M2</v>
      </c>
    </row>
    <row r="134" spans="1:10" s="515" customFormat="1" x14ac:dyDescent="0.2">
      <c r="A134" s="516"/>
      <c r="B134" s="655" t="s">
        <v>173</v>
      </c>
      <c r="C134" s="656"/>
      <c r="D134" s="656"/>
      <c r="E134" s="656"/>
      <c r="F134" s="656"/>
      <c r="G134" s="657"/>
      <c r="H134" s="658" t="s">
        <v>176</v>
      </c>
      <c r="I134" s="658"/>
      <c r="J134" s="491" t="s">
        <v>177</v>
      </c>
    </row>
    <row r="135" spans="1:10" s="515" customFormat="1" x14ac:dyDescent="0.2">
      <c r="A135" s="516"/>
      <c r="B135" s="659"/>
      <c r="C135" s="660"/>
      <c r="D135" s="660"/>
      <c r="E135" s="660"/>
      <c r="F135" s="660"/>
      <c r="G135" s="661"/>
      <c r="H135" s="662">
        <f>((0.2*2+0.3*2)*2.4*2+(2*2+3.39)*0.2*2+0.45*2*2+(2.05*0.45*2+(2.05*2+0.45*2)*0.05))*1.2</f>
        <v>13.981199999999999</v>
      </c>
      <c r="I135" s="663"/>
      <c r="J135" s="509" t="str">
        <f>H134</f>
        <v>ÁREA</v>
      </c>
    </row>
    <row r="136" spans="1:10" s="515" customFormat="1" x14ac:dyDescent="0.2">
      <c r="A136" s="516" t="str">
        <f>VLOOKUP(B133,'ORÇAMENTO_N DES'!B:P,4,0)</f>
        <v>7.1</v>
      </c>
      <c r="B136" s="649" t="s">
        <v>178</v>
      </c>
      <c r="C136" s="650"/>
      <c r="D136" s="650"/>
      <c r="E136" s="650"/>
      <c r="F136" s="650"/>
      <c r="G136" s="651"/>
      <c r="H136" s="652">
        <f>SUM(H135:I135)</f>
        <v>13.981199999999999</v>
      </c>
      <c r="I136" s="653"/>
      <c r="J136" s="499"/>
    </row>
    <row r="137" spans="1:10" s="515" customFormat="1" ht="39.75" customHeight="1" x14ac:dyDescent="0.2">
      <c r="A137" s="516"/>
      <c r="B137" s="489" t="str">
        <f>'ORÇAMENTO_N DES'!B61</f>
        <v>7.2</v>
      </c>
      <c r="C137" s="490">
        <f>VLOOKUP(B137,'ORÇAMENTO_N DES'!B:M,5,FALSE)</f>
        <v>100760</v>
      </c>
      <c r="D137" s="654" t="str">
        <f>VLOOKUP(B137,'ORÇAMENTO_N DES'!B:M,6,FALSE)</f>
        <v>PINTURA COM TINTA ALQUÍDICA DE ACABAMENTO (ESMALTE SINTÉTICO BRILHANTE) APLICADA A ROLO OU PINCEL SOBRE SUPERFÍCIES METÁLICAS (EXCETO PERFIL) EXECUTADO EM OBRA (02 DEMÃOS). AF_01/2020</v>
      </c>
      <c r="E137" s="654"/>
      <c r="F137" s="654"/>
      <c r="G137" s="654"/>
      <c r="H137" s="654"/>
      <c r="I137" s="654"/>
      <c r="J137" s="490" t="str">
        <f>VLOOKUP(B137,'ORÇAMENTO_N DES'!B:M,7,FALSE)</f>
        <v>M2</v>
      </c>
    </row>
    <row r="138" spans="1:10" s="515" customFormat="1" x14ac:dyDescent="0.2">
      <c r="A138" s="516"/>
      <c r="B138" s="655" t="s">
        <v>173</v>
      </c>
      <c r="C138" s="656"/>
      <c r="D138" s="656"/>
      <c r="E138" s="656"/>
      <c r="F138" s="656"/>
      <c r="G138" s="657"/>
      <c r="H138" s="658" t="s">
        <v>180</v>
      </c>
      <c r="I138" s="658"/>
      <c r="J138" s="491" t="s">
        <v>177</v>
      </c>
    </row>
    <row r="139" spans="1:10" s="515" customFormat="1" x14ac:dyDescent="0.2">
      <c r="A139" s="516"/>
      <c r="B139" s="659"/>
      <c r="C139" s="660"/>
      <c r="D139" s="660"/>
      <c r="E139" s="660"/>
      <c r="F139" s="660"/>
      <c r="G139" s="661"/>
      <c r="H139" s="662">
        <f>H136</f>
        <v>13.981199999999999</v>
      </c>
      <c r="I139" s="663"/>
      <c r="J139" s="509" t="str">
        <f>H138</f>
        <v>COMPRIMENTO</v>
      </c>
    </row>
    <row r="140" spans="1:10" s="515" customFormat="1" x14ac:dyDescent="0.2">
      <c r="A140" s="516" t="str">
        <f>VLOOKUP(B137,'ORÇAMENTO_N DES'!B:P,4,0)</f>
        <v>7.2</v>
      </c>
      <c r="B140" s="649" t="s">
        <v>178</v>
      </c>
      <c r="C140" s="650"/>
      <c r="D140" s="650"/>
      <c r="E140" s="650"/>
      <c r="F140" s="650"/>
      <c r="G140" s="651"/>
      <c r="H140" s="652">
        <f>SUM(H139:I139)</f>
        <v>13.981199999999999</v>
      </c>
      <c r="I140" s="653"/>
      <c r="J140" s="499"/>
    </row>
    <row r="141" spans="1:10" ht="12.75" customHeight="1" x14ac:dyDescent="0.2">
      <c r="B141" s="124" t="str">
        <f>'ORÇAMENTO_N DES'!B63</f>
        <v>8.</v>
      </c>
      <c r="C141" s="125"/>
      <c r="D141" s="674" t="str">
        <f>'ORÇAMENTO_N DES'!G63</f>
        <v xml:space="preserve">ADMINISTRAÇÃO LOCAL </v>
      </c>
      <c r="E141" s="674"/>
      <c r="F141" s="674"/>
      <c r="G141" s="674"/>
      <c r="H141" s="674"/>
      <c r="I141" s="674"/>
      <c r="J141" s="126"/>
    </row>
    <row r="142" spans="1:10" x14ac:dyDescent="0.2">
      <c r="B142" s="108" t="str">
        <f>'ORÇAMENTO_N DES'!B64</f>
        <v>8.1</v>
      </c>
      <c r="C142" s="143">
        <f>'ORÇAMENTO_N DES'!F64</f>
        <v>90777</v>
      </c>
      <c r="D142" s="683" t="str">
        <f>'ORÇAMENTO_N DES'!G64</f>
        <v>ENGENHEIRO CIVIL DE OBRA JUNIOR COM ENCARGOS COMPLEMENTARES</v>
      </c>
      <c r="E142" s="684"/>
      <c r="F142" s="684"/>
      <c r="G142" s="684"/>
      <c r="H142" s="684"/>
      <c r="I142" s="685"/>
      <c r="J142" s="143" t="str">
        <f>'ORÇAMENTO_N DES'!H64</f>
        <v>H</v>
      </c>
    </row>
    <row r="143" spans="1:10" x14ac:dyDescent="0.2">
      <c r="B143" s="251" t="s">
        <v>173</v>
      </c>
      <c r="C143" s="237"/>
      <c r="D143" s="238" t="s">
        <v>190</v>
      </c>
      <c r="E143" s="540" t="s">
        <v>191</v>
      </c>
      <c r="F143" s="250" t="s">
        <v>192</v>
      </c>
      <c r="G143" s="251" t="s">
        <v>193</v>
      </c>
      <c r="H143" s="703" t="s">
        <v>176</v>
      </c>
      <c r="I143" s="704"/>
      <c r="J143" s="251" t="s">
        <v>177</v>
      </c>
    </row>
    <row r="144" spans="1:10" x14ac:dyDescent="0.2">
      <c r="B144" s="705" t="s">
        <v>178</v>
      </c>
      <c r="C144" s="706"/>
      <c r="D144" s="127">
        <v>2</v>
      </c>
      <c r="E144" s="127">
        <v>0.8</v>
      </c>
      <c r="F144" s="127">
        <v>1</v>
      </c>
      <c r="G144" s="127">
        <v>4</v>
      </c>
      <c r="H144" s="707">
        <f>D144*E144*F144*G144</f>
        <v>6.4</v>
      </c>
      <c r="I144" s="708"/>
      <c r="J144" s="123" t="s">
        <v>194</v>
      </c>
    </row>
    <row r="145" spans="1:10" x14ac:dyDescent="0.2">
      <c r="A145" s="313" t="str">
        <f>VLOOKUP(B142,'ORÇAMENTO_N DES'!B:P,4,0)</f>
        <v>8.1</v>
      </c>
      <c r="B145" s="709" t="s">
        <v>178</v>
      </c>
      <c r="C145" s="710"/>
      <c r="D145" s="710"/>
      <c r="E145" s="710"/>
      <c r="F145" s="710"/>
      <c r="G145" s="711"/>
      <c r="H145" s="712">
        <f>SUM(H144)</f>
        <v>6.4</v>
      </c>
      <c r="I145" s="713"/>
      <c r="J145" s="239"/>
    </row>
    <row r="146" spans="1:10" x14ac:dyDescent="0.2">
      <c r="B146" s="108" t="str">
        <f>'ORÇAMENTO_N DES'!B65</f>
        <v>8.2</v>
      </c>
      <c r="C146" s="143">
        <f>'ORÇAMENTO_N DES'!F65</f>
        <v>90780</v>
      </c>
      <c r="D146" s="683" t="str">
        <f>'ORÇAMENTO_N DES'!G65</f>
        <v>MESTRE DE OBRAS COM ENCARGOS COMPLEMENTARES</v>
      </c>
      <c r="E146" s="684"/>
      <c r="F146" s="684"/>
      <c r="G146" s="684"/>
      <c r="H146" s="684"/>
      <c r="I146" s="685"/>
      <c r="J146" s="143" t="str">
        <f>'ORÇAMENTO_N DES'!H65</f>
        <v>H</v>
      </c>
    </row>
    <row r="147" spans="1:10" x14ac:dyDescent="0.2">
      <c r="B147" s="251" t="s">
        <v>173</v>
      </c>
      <c r="C147" s="237"/>
      <c r="D147" s="238" t="s">
        <v>190</v>
      </c>
      <c r="E147" s="540" t="s">
        <v>191</v>
      </c>
      <c r="F147" s="250" t="s">
        <v>192</v>
      </c>
      <c r="G147" s="251" t="s">
        <v>193</v>
      </c>
      <c r="H147" s="703" t="s">
        <v>176</v>
      </c>
      <c r="I147" s="704"/>
      <c r="J147" s="251" t="s">
        <v>177</v>
      </c>
    </row>
    <row r="148" spans="1:10" x14ac:dyDescent="0.2">
      <c r="B148" s="705" t="s">
        <v>178</v>
      </c>
      <c r="C148" s="706"/>
      <c r="D148" s="127">
        <v>2</v>
      </c>
      <c r="E148" s="127">
        <v>1</v>
      </c>
      <c r="F148" s="127">
        <v>1</v>
      </c>
      <c r="G148" s="127">
        <v>4</v>
      </c>
      <c r="H148" s="707">
        <f>D148*E148*F148*G148</f>
        <v>8</v>
      </c>
      <c r="I148" s="708"/>
      <c r="J148" s="123" t="s">
        <v>194</v>
      </c>
    </row>
    <row r="149" spans="1:10" x14ac:dyDescent="0.2">
      <c r="A149" s="313" t="str">
        <f>VLOOKUP(B146,'ORÇAMENTO_N DES'!B:P,4,0)</f>
        <v>8.2</v>
      </c>
      <c r="B149" s="709" t="s">
        <v>178</v>
      </c>
      <c r="C149" s="710"/>
      <c r="D149" s="710"/>
      <c r="E149" s="710"/>
      <c r="F149" s="710"/>
      <c r="G149" s="711"/>
      <c r="H149" s="712">
        <f>SUM(H148)</f>
        <v>8</v>
      </c>
      <c r="I149" s="713"/>
      <c r="J149" s="239"/>
    </row>
    <row r="150" spans="1:10" x14ac:dyDescent="0.2">
      <c r="B150" s="133" t="str">
        <f>'ORÇAMENTO_N DES'!B67</f>
        <v>9.</v>
      </c>
      <c r="C150" s="125"/>
      <c r="D150" s="674" t="str">
        <f>'ORÇAMENTO_N DES'!G67</f>
        <v xml:space="preserve">LIMPEZA FINAL </v>
      </c>
      <c r="E150" s="674"/>
      <c r="F150" s="674"/>
      <c r="G150" s="674"/>
      <c r="H150" s="674"/>
      <c r="I150" s="674"/>
      <c r="J150" s="126"/>
    </row>
    <row r="151" spans="1:10" x14ac:dyDescent="0.2">
      <c r="B151" s="143" t="str">
        <f>'ORÇAMENTO_N DES'!B68</f>
        <v>9.1</v>
      </c>
      <c r="C151" s="143">
        <f>'ORÇAMENTO_N DES'!F68</f>
        <v>201002161</v>
      </c>
      <c r="D151" s="716" t="str">
        <f>'ORÇAMENTO_N DES'!G68</f>
        <v>LOCACAO DE CACAMBA (4M3) (7 DIAS)</v>
      </c>
      <c r="E151" s="716"/>
      <c r="F151" s="716"/>
      <c r="G151" s="716"/>
      <c r="H151" s="716"/>
      <c r="I151" s="716"/>
      <c r="J151" s="143" t="str">
        <f>'ORÇAMENTO_N DES'!H68</f>
        <v>UN</v>
      </c>
    </row>
    <row r="152" spans="1:10" x14ac:dyDescent="0.2">
      <c r="B152" s="686" t="s">
        <v>173</v>
      </c>
      <c r="C152" s="687"/>
      <c r="D152" s="687"/>
      <c r="E152" s="687"/>
      <c r="F152" s="687"/>
      <c r="G152" s="688"/>
      <c r="H152" s="689" t="s">
        <v>40</v>
      </c>
      <c r="I152" s="689"/>
      <c r="J152" s="219" t="s">
        <v>177</v>
      </c>
    </row>
    <row r="153" spans="1:10" x14ac:dyDescent="0.2">
      <c r="B153" s="680"/>
      <c r="C153" s="681"/>
      <c r="D153" s="681"/>
      <c r="E153" s="681"/>
      <c r="F153" s="681"/>
      <c r="G153" s="682"/>
      <c r="H153" s="714">
        <v>1</v>
      </c>
      <c r="I153" s="715"/>
      <c r="J153" s="109" t="s">
        <v>39</v>
      </c>
    </row>
    <row r="154" spans="1:10" x14ac:dyDescent="0.2">
      <c r="A154" s="313" t="str">
        <f>VLOOKUP(B151,'ORÇAMENTO_N DES'!B:P,4,0)</f>
        <v>9.1</v>
      </c>
      <c r="B154" s="675" t="s">
        <v>178</v>
      </c>
      <c r="C154" s="676"/>
      <c r="D154" s="676"/>
      <c r="E154" s="676"/>
      <c r="F154" s="676"/>
      <c r="G154" s="677"/>
      <c r="H154" s="672">
        <f>SUM(H153)</f>
        <v>1</v>
      </c>
      <c r="I154" s="673"/>
      <c r="J154" s="110"/>
    </row>
    <row r="155" spans="1:10" x14ac:dyDescent="0.2">
      <c r="B155" s="90"/>
      <c r="C155" s="90"/>
      <c r="D155" s="90"/>
      <c r="E155" s="90"/>
      <c r="F155" s="90"/>
      <c r="G155" s="90"/>
      <c r="H155" s="90"/>
      <c r="I155" s="90"/>
      <c r="J155" s="90"/>
    </row>
    <row r="156" spans="1:10" x14ac:dyDescent="0.2">
      <c r="B156" s="90"/>
      <c r="C156" s="90"/>
      <c r="D156" s="90"/>
      <c r="E156" s="90"/>
      <c r="F156" s="90"/>
      <c r="G156" s="90"/>
      <c r="H156" s="90"/>
      <c r="I156" s="90"/>
      <c r="J156" s="90"/>
    </row>
    <row r="157" spans="1:10" x14ac:dyDescent="0.2">
      <c r="B157" s="90"/>
      <c r="C157" s="90"/>
      <c r="D157" s="90"/>
      <c r="E157" s="90"/>
      <c r="F157" s="90"/>
      <c r="G157" s="90"/>
      <c r="H157" s="90"/>
      <c r="I157" s="90"/>
      <c r="J157" s="90"/>
    </row>
    <row r="158" spans="1:10" ht="33.75" customHeight="1" x14ac:dyDescent="0.2">
      <c r="B158" s="90"/>
      <c r="C158" s="90"/>
      <c r="D158" s="90"/>
      <c r="E158" s="90"/>
      <c r="F158" s="90"/>
      <c r="G158" s="90"/>
      <c r="H158" s="90"/>
      <c r="I158" s="90"/>
      <c r="J158" s="90"/>
    </row>
    <row r="159" spans="1:10" x14ac:dyDescent="0.2">
      <c r="B159" s="90"/>
      <c r="C159" s="90"/>
      <c r="D159" s="90"/>
      <c r="E159" s="90"/>
      <c r="F159" s="90"/>
      <c r="G159" s="90"/>
      <c r="H159" s="90"/>
      <c r="I159" s="90"/>
      <c r="J159" s="90"/>
    </row>
    <row r="160" spans="1:10" x14ac:dyDescent="0.2">
      <c r="B160" s="90"/>
      <c r="C160" s="90"/>
      <c r="D160" s="90"/>
      <c r="E160" s="90"/>
      <c r="F160" s="90"/>
      <c r="G160" s="90"/>
      <c r="H160" s="90"/>
      <c r="I160" s="90"/>
      <c r="J160" s="90"/>
    </row>
    <row r="161" s="90" customFormat="1" x14ac:dyDescent="0.2"/>
    <row r="162" s="90" customFormat="1" x14ac:dyDescent="0.2"/>
  </sheetData>
  <mergeCells count="178">
    <mergeCell ref="H101:I101"/>
    <mergeCell ref="B102:G102"/>
    <mergeCell ref="H102:I102"/>
    <mergeCell ref="B111:G111"/>
    <mergeCell ref="H118:I118"/>
    <mergeCell ref="D123:I123"/>
    <mergeCell ref="C124:F124"/>
    <mergeCell ref="B125:F125"/>
    <mergeCell ref="D96:I96"/>
    <mergeCell ref="B97:G97"/>
    <mergeCell ref="H97:I97"/>
    <mergeCell ref="B98:G98"/>
    <mergeCell ref="H98:I98"/>
    <mergeCell ref="B99:G99"/>
    <mergeCell ref="H99:I99"/>
    <mergeCell ref="D115:I115"/>
    <mergeCell ref="B118:G118"/>
    <mergeCell ref="C116:F116"/>
    <mergeCell ref="B117:F117"/>
    <mergeCell ref="B107:G107"/>
    <mergeCell ref="H107:I107"/>
    <mergeCell ref="B103:G103"/>
    <mergeCell ref="H103:I103"/>
    <mergeCell ref="D105:I105"/>
    <mergeCell ref="B106:G106"/>
    <mergeCell ref="H106:I106"/>
    <mergeCell ref="D100:I100"/>
    <mergeCell ref="B101:G101"/>
    <mergeCell ref="C22:H22"/>
    <mergeCell ref="B23:H23"/>
    <mergeCell ref="B45:H45"/>
    <mergeCell ref="C28:H28"/>
    <mergeCell ref="B29:H29"/>
    <mergeCell ref="B51:H51"/>
    <mergeCell ref="B52:H52"/>
    <mergeCell ref="B53:H53"/>
    <mergeCell ref="D55:I55"/>
    <mergeCell ref="D30:I30"/>
    <mergeCell ref="D33:I33"/>
    <mergeCell ref="D24:I24"/>
    <mergeCell ref="D27:I27"/>
    <mergeCell ref="D36:I36"/>
    <mergeCell ref="C25:H25"/>
    <mergeCell ref="B26:H26"/>
    <mergeCell ref="C31:F31"/>
    <mergeCell ref="B32:F32"/>
    <mergeCell ref="C34:H34"/>
    <mergeCell ref="B35:H35"/>
    <mergeCell ref="C37:E37"/>
    <mergeCell ref="H37:I37"/>
    <mergeCell ref="B38:E38"/>
    <mergeCell ref="H38:I38"/>
    <mergeCell ref="D3:J3"/>
    <mergeCell ref="D4:J4"/>
    <mergeCell ref="D5:J5"/>
    <mergeCell ref="B6:J6"/>
    <mergeCell ref="C7:H7"/>
    <mergeCell ref="C8:H8"/>
    <mergeCell ref="D21:I21"/>
    <mergeCell ref="C9:H9"/>
    <mergeCell ref="I9:J10"/>
    <mergeCell ref="C10:H10"/>
    <mergeCell ref="B13:J13"/>
    <mergeCell ref="D16:I16"/>
    <mergeCell ref="D18:I18"/>
    <mergeCell ref="C19:F19"/>
    <mergeCell ref="B20:F20"/>
    <mergeCell ref="D150:I150"/>
    <mergeCell ref="H149:I149"/>
    <mergeCell ref="B149:G149"/>
    <mergeCell ref="B154:G154"/>
    <mergeCell ref="H154:I154"/>
    <mergeCell ref="B153:G153"/>
    <mergeCell ref="H153:I153"/>
    <mergeCell ref="B152:G152"/>
    <mergeCell ref="H152:I152"/>
    <mergeCell ref="D151:I151"/>
    <mergeCell ref="H147:I147"/>
    <mergeCell ref="D141:I141"/>
    <mergeCell ref="D146:I146"/>
    <mergeCell ref="B148:C148"/>
    <mergeCell ref="H148:I148"/>
    <mergeCell ref="D142:I142"/>
    <mergeCell ref="H143:I143"/>
    <mergeCell ref="B144:C144"/>
    <mergeCell ref="H144:I144"/>
    <mergeCell ref="B145:G145"/>
    <mergeCell ref="H145:I145"/>
    <mergeCell ref="B61:H61"/>
    <mergeCell ref="B62:H62"/>
    <mergeCell ref="D63:I63"/>
    <mergeCell ref="B64:H64"/>
    <mergeCell ref="E65:H65"/>
    <mergeCell ref="D42:I42"/>
    <mergeCell ref="B43:D43"/>
    <mergeCell ref="E43:F43"/>
    <mergeCell ref="G43:H43"/>
    <mergeCell ref="E44:F44"/>
    <mergeCell ref="G44:H44"/>
    <mergeCell ref="D46:I46"/>
    <mergeCell ref="B47:H47"/>
    <mergeCell ref="B48:H48"/>
    <mergeCell ref="B49:H49"/>
    <mergeCell ref="D50:I50"/>
    <mergeCell ref="B56:F56"/>
    <mergeCell ref="B57:F57"/>
    <mergeCell ref="B58:H58"/>
    <mergeCell ref="D59:I59"/>
    <mergeCell ref="B60:H60"/>
    <mergeCell ref="D75:I75"/>
    <mergeCell ref="B76:H76"/>
    <mergeCell ref="D71:I71"/>
    <mergeCell ref="B72:H72"/>
    <mergeCell ref="E73:H73"/>
    <mergeCell ref="B74:H74"/>
    <mergeCell ref="B66:H66"/>
    <mergeCell ref="D67:I67"/>
    <mergeCell ref="B68:H68"/>
    <mergeCell ref="E69:H69"/>
    <mergeCell ref="B70:H70"/>
    <mergeCell ref="B82:H82"/>
    <mergeCell ref="D83:I83"/>
    <mergeCell ref="B84:H84"/>
    <mergeCell ref="B85:H85"/>
    <mergeCell ref="B86:H86"/>
    <mergeCell ref="E77:H77"/>
    <mergeCell ref="B78:H78"/>
    <mergeCell ref="D79:I79"/>
    <mergeCell ref="B80:H80"/>
    <mergeCell ref="B81:H81"/>
    <mergeCell ref="B93:G93"/>
    <mergeCell ref="H93:I93"/>
    <mergeCell ref="B94:G94"/>
    <mergeCell ref="H94:I94"/>
    <mergeCell ref="B95:G95"/>
    <mergeCell ref="H95:I95"/>
    <mergeCell ref="D87:I87"/>
    <mergeCell ref="B88:F88"/>
    <mergeCell ref="B89:F89"/>
    <mergeCell ref="B90:H90"/>
    <mergeCell ref="D92:I92"/>
    <mergeCell ref="H111:I111"/>
    <mergeCell ref="B112:G112"/>
    <mergeCell ref="H112:I112"/>
    <mergeCell ref="D133:I133"/>
    <mergeCell ref="B108:G108"/>
    <mergeCell ref="H108:I108"/>
    <mergeCell ref="D109:I109"/>
    <mergeCell ref="B110:G110"/>
    <mergeCell ref="H110:I110"/>
    <mergeCell ref="C120:F120"/>
    <mergeCell ref="B121:F121"/>
    <mergeCell ref="B122:G122"/>
    <mergeCell ref="H122:I122"/>
    <mergeCell ref="D132:I132"/>
    <mergeCell ref="B126:G126"/>
    <mergeCell ref="H126:I126"/>
    <mergeCell ref="B131:G131"/>
    <mergeCell ref="H131:I131"/>
    <mergeCell ref="H130:I130"/>
    <mergeCell ref="B130:G130"/>
    <mergeCell ref="D128:I128"/>
    <mergeCell ref="B129:G129"/>
    <mergeCell ref="H129:I129"/>
    <mergeCell ref="D119:I119"/>
    <mergeCell ref="B140:G140"/>
    <mergeCell ref="H140:I140"/>
    <mergeCell ref="D137:I137"/>
    <mergeCell ref="B138:G138"/>
    <mergeCell ref="H138:I138"/>
    <mergeCell ref="B139:G139"/>
    <mergeCell ref="H139:I139"/>
    <mergeCell ref="B134:G134"/>
    <mergeCell ref="H134:I134"/>
    <mergeCell ref="B135:G135"/>
    <mergeCell ref="H135:I135"/>
    <mergeCell ref="B136:G136"/>
    <mergeCell ref="H136:I136"/>
  </mergeCells>
  <phoneticPr fontId="2" type="noConversion"/>
  <conditionalFormatting sqref="F11:H12 G15">
    <cfRule type="cellIs" dxfId="7" priority="43" operator="equal">
      <formula>0</formula>
    </cfRule>
  </conditionalFormatting>
  <printOptions horizontalCentered="1"/>
  <pageMargins left="0.7" right="0.7" top="0.75" bottom="0.75" header="0.3" footer="0.3"/>
  <pageSetup paperSize="9" scale="43" fitToHeight="0" orientation="portrait" r:id="rId1"/>
  <headerFooter>
    <oddFooter>Página &amp;P de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50</vt:i4>
      </vt:variant>
    </vt:vector>
  </HeadingPairs>
  <TitlesOfParts>
    <vt:vector size="68" baseType="lpstr">
      <vt:lpstr>IMAGENS</vt:lpstr>
      <vt:lpstr>REFERENCIA</vt:lpstr>
      <vt:lpstr>DADOS</vt:lpstr>
      <vt:lpstr>CHECK-LIST</vt:lpstr>
      <vt:lpstr>QUADRO RESUMO</vt:lpstr>
      <vt:lpstr>RELEVÂNCIA</vt:lpstr>
      <vt:lpstr>ORÇAMENTO_N DES</vt:lpstr>
      <vt:lpstr>GASES MEDICINAIS</vt:lpstr>
      <vt:lpstr>MEMORIA DE CALCULO AT</vt:lpstr>
      <vt:lpstr>BANCO DADOS ARQ</vt:lpstr>
      <vt:lpstr>COTAÇÕE</vt:lpstr>
      <vt:lpstr>COMPOSIÇÃO</vt:lpstr>
      <vt:lpstr>COTAÇÕES</vt:lpstr>
      <vt:lpstr>CRONOGRAMA DES</vt:lpstr>
      <vt:lpstr>COTAÇÕES XXX</vt:lpstr>
      <vt:lpstr>CRONOGRAMA S DES</vt:lpstr>
      <vt:lpstr>BDI S DES </vt:lpstr>
      <vt:lpstr>BDI S DES</vt:lpstr>
      <vt:lpstr>'BANCO DADOS ARQ'!_000____VERGA_PORTA_GERAL</vt:lpstr>
      <vt:lpstr>'BANCO DADOS ARQ'!_000___TABELA_DE_AMBIENTES_GERAL</vt:lpstr>
      <vt:lpstr>'BANCO DADOS ARQ'!_000___VERGA_CONTRAVERGA_JANELAS_GERAL</vt:lpstr>
      <vt:lpstr>'BANCO DADOS ARQ'!_003___JANELAS</vt:lpstr>
      <vt:lpstr>'BANCO DADOS ARQ'!_003___PEITORIL_DE_GRANITO_PARA_JANELAS</vt:lpstr>
      <vt:lpstr>'BANCO DADOS ARQ'!_003___PORTAS</vt:lpstr>
      <vt:lpstr>'BANCO DADOS ARQ'!_004___CHAPISCO_TETO</vt:lpstr>
      <vt:lpstr>'BANCO DADOS ARQ'!_004___COBERTURA</vt:lpstr>
      <vt:lpstr>'BANCO DADOS ARQ'!_004___CUMEEIRA_EM_FIBROCIMENTO</vt:lpstr>
      <vt:lpstr>'BANCO DADOS ARQ'!_004___FORRO_DRYWALL_1</vt:lpstr>
      <vt:lpstr>'BANCO DADOS ARQ'!_004___INSTALAÇÃO_DE_AZULEJO___H___1_80M___TOTAL</vt:lpstr>
      <vt:lpstr>'BANCO DADOS ARQ'!_004___MATERIAIS___CALHA</vt:lpstr>
      <vt:lpstr>'BANCO DADOS ARQ'!_004___REVESTIMENTO_LAMINADO</vt:lpstr>
      <vt:lpstr>'BANCO DADOS ARQ'!_004___RUFO_DE_ENCOSTO_EM_AÇO_GALVANIZADO_2</vt:lpstr>
      <vt:lpstr>'BANCO DADOS ARQ'!_004___RUFO_PINGADEIRA__EM_AÇO_GALVANIZADO</vt:lpstr>
      <vt:lpstr>'BANCO DADOS ARQ'!_005____PISO_MANTA_VÍNILICA</vt:lpstr>
      <vt:lpstr>'BANCO DADOS ARQ'!_005___PISO_60X60CM_GERAL</vt:lpstr>
      <vt:lpstr>'BANCO DADOS ARQ'!_005___PISO_60X60CM_GERAL_1</vt:lpstr>
      <vt:lpstr>'BANCO DADOS ARQ'!_005___RODAPÉ_CERÂMICO_60X60CM</vt:lpstr>
      <vt:lpstr>'BANCO DADOS ARQ'!_005___RODAPÉ_MANTA_VÍNILICA</vt:lpstr>
      <vt:lpstr>'BANCO DADOS ARQ'!_005___SOLEIRA</vt:lpstr>
      <vt:lpstr>'BANCO DADOS ARQ'!_005___URBANIZAÇÃO_1</vt:lpstr>
      <vt:lpstr>'BANCO DADOS ARQ'!_006___ACESSÓRIOS_ESPECIAIS</vt:lpstr>
      <vt:lpstr>'BANCO DADOS ARQ'!_006___ACESSÓRIOS_ESPECIAIS_1</vt:lpstr>
      <vt:lpstr>'BANCO DADOS ARQ'!_006___TABELA_DE_LOUÇAS_1</vt:lpstr>
      <vt:lpstr>'BANCO DADOS ARQ'!_007___PINTURA_ACRÍLICA_EM_TETO</vt:lpstr>
      <vt:lpstr>'BANCO DADOS ARQ'!_007___PINTURA_ACRÍLICA_INTERNA_EM_PAREDES</vt:lpstr>
      <vt:lpstr>'BANCO DADOS ARQ'!_007___PINTURA_ESMALTE_EM_SUPERFÍCIE_METÁLICA___JANELA</vt:lpstr>
      <vt:lpstr>'BANCO DADOS ARQ'!_007___PINTURA_ESMALTE_EM_SUPERFÍCIE_METÁLICA___JANELA_2</vt:lpstr>
      <vt:lpstr>'BANCO DADOS ARQ'!_007___PINTURA_ESMALTE_EM_SUPERFÍCIE_METÁLICA___PORTAS_1</vt:lpstr>
      <vt:lpstr>'BANCO DADOS ARQ'!_007___PINTURA_ESMALTE_EM_SUPERFÍCIE_METÁLICA___PORTAS_2</vt:lpstr>
      <vt:lpstr>'BANCO DADOS ARQ'!Area_de_impressao</vt:lpstr>
      <vt:lpstr>'BDI S DES'!Area_de_impressao</vt:lpstr>
      <vt:lpstr>'BDI S DES '!Area_de_impressao</vt:lpstr>
      <vt:lpstr>'CHECK-LIST'!Area_de_impressao</vt:lpstr>
      <vt:lpstr>COMPOSIÇÃO!Area_de_impressao</vt:lpstr>
      <vt:lpstr>COTAÇÕE!Area_de_impressao</vt:lpstr>
      <vt:lpstr>COTAÇÕES!Area_de_impressao</vt:lpstr>
      <vt:lpstr>'COTAÇÕES XXX'!Area_de_impressao</vt:lpstr>
      <vt:lpstr>'CRONOGRAMA DES'!Area_de_impressao</vt:lpstr>
      <vt:lpstr>'CRONOGRAMA S DES'!Area_de_impressao</vt:lpstr>
      <vt:lpstr>'MEMORIA DE CALCULO AT'!Area_de_impressao</vt:lpstr>
      <vt:lpstr>'ORÇAMENTO_N DES'!Area_de_impressao</vt:lpstr>
      <vt:lpstr>RELEVÂNCIA!Area_de_impressao</vt:lpstr>
      <vt:lpstr>'CRONOGRAMA S DES'!ORÇAMENTO</vt:lpstr>
      <vt:lpstr>RELEVÂNCIA!ORÇAMENTO</vt:lpstr>
      <vt:lpstr>ORÇAMENTO</vt:lpstr>
      <vt:lpstr>PROC</vt:lpstr>
      <vt:lpstr>'ORÇAMENTO_N DES'!Titulos_de_impressao</vt:lpstr>
      <vt:lpstr>RELEVÂNCIA!Titulos_de_impressao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Engeluga</cp:lastModifiedBy>
  <cp:lastPrinted>2024-09-27T13:24:50Z</cp:lastPrinted>
  <dcterms:created xsi:type="dcterms:W3CDTF">2016-12-08T00:50:18Z</dcterms:created>
  <dcterms:modified xsi:type="dcterms:W3CDTF">2024-09-27T13:29:56Z</dcterms:modified>
</cp:coreProperties>
</file>