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34 Limpeza Urbana\"/>
    </mc:Choice>
  </mc:AlternateContent>
  <xr:revisionPtr revIDLastSave="0" documentId="13_ncr:1_{69764320-DC24-4F2A-89F2-73CC97BCA662}" xr6:coauthVersionLast="47" xr6:coauthVersionMax="47" xr10:uidLastSave="{00000000-0000-0000-0000-000000000000}"/>
  <bookViews>
    <workbookView xWindow="-120" yWindow="-120" windowWidth="29040" windowHeight="15720" tabRatio="982" activeTab="1" xr2:uid="{B4854388-B9BC-40E9-AE30-6A35154B81C3}"/>
  </bookViews>
  <sheets>
    <sheet name="PLANILHA ORÇAMENTÁRIA" sheetId="20" r:id="rId1"/>
    <sheet name="CRONOGRAMA FÍSICO FINANCEIRO" sheetId="19" r:id="rId2"/>
    <sheet name="ORÇAMENTO DESONERADO" sheetId="11" r:id="rId3"/>
    <sheet name="varrição" sheetId="4" r:id="rId4"/>
    <sheet name="caiação" sheetId="5" r:id="rId5"/>
    <sheet name="roçada" sheetId="7" r:id="rId6"/>
    <sheet name="bueiro" sheetId="14" r:id="rId7"/>
    <sheet name="PODA" sheetId="9" r:id="rId8"/>
    <sheet name="reparo meio fio" sheetId="15" r:id="rId9"/>
    <sheet name="BDI DESONERADO" sheetId="2" r:id="rId10"/>
    <sheet name="ORÇAMENTO SEM DESONERAÇÃO" sheetId="16" r:id="rId11"/>
    <sheet name="BDI SEM DESONERAÇÃO" sheetId="18" r:id="rId12"/>
  </sheets>
  <externalReferences>
    <externalReference r:id="rId13"/>
    <externalReference r:id="rId14"/>
    <externalReference r:id="rId15"/>
  </externalReferences>
  <definedNames>
    <definedName name="_xlnm.Print_Area" localSheetId="9">'BDI DESONERADO'!$A$1:$F$31</definedName>
    <definedName name="_xlnm.Print_Area" localSheetId="11">'BDI SEM DESONERAÇÃO'!$A$1:$F$31</definedName>
    <definedName name="_xlnm.Database">#REF!</definedName>
    <definedName name="BOLETIM">#REF!</definedName>
    <definedName name="CONTRATO">[1]APONT!$B$5:$G$426</definedName>
    <definedName name="_xlnm.Criteria">#REF!</definedName>
    <definedName name="G">#REF!</definedName>
    <definedName name="Print_Area_MI">#REF!</definedName>
    <definedName name="un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0" l="1"/>
  <c r="G16" i="20"/>
  <c r="G17" i="20"/>
  <c r="G18" i="20"/>
  <c r="G19" i="20"/>
  <c r="G14" i="20"/>
  <c r="K27" i="19"/>
  <c r="J27" i="19"/>
  <c r="I27" i="19"/>
  <c r="H27" i="19"/>
  <c r="G27" i="19"/>
  <c r="F27" i="19"/>
  <c r="K19" i="19"/>
  <c r="J19" i="19"/>
  <c r="I19" i="19"/>
  <c r="H19" i="19"/>
  <c r="G19" i="19"/>
  <c r="F19" i="19"/>
  <c r="D27" i="19"/>
  <c r="D19" i="19"/>
  <c r="D19" i="11"/>
  <c r="D18" i="11"/>
  <c r="D17" i="11"/>
  <c r="G20" i="20" l="1"/>
  <c r="L9" i="11"/>
  <c r="L10" i="11"/>
  <c r="L14" i="11"/>
  <c r="L8" i="11"/>
  <c r="M21" i="11"/>
  <c r="B29" i="11"/>
  <c r="B37" i="11" s="1"/>
  <c r="B30" i="11"/>
  <c r="B38" i="11" s="1"/>
  <c r="B32" i="11"/>
  <c r="B40" i="11" s="1"/>
  <c r="C32" i="11"/>
  <c r="C40" i="11" s="1"/>
  <c r="E9" i="16"/>
  <c r="E10" i="16"/>
  <c r="E11" i="16"/>
  <c r="E12" i="16"/>
  <c r="E13" i="16"/>
  <c r="E8" i="16"/>
  <c r="D9" i="16"/>
  <c r="D10" i="16"/>
  <c r="D42" i="7"/>
  <c r="F9" i="16" l="1"/>
  <c r="G9" i="16" s="1"/>
  <c r="H9" i="16" s="1"/>
  <c r="D28" i="16" s="1"/>
  <c r="F10" i="16"/>
  <c r="F11" i="16"/>
  <c r="F12" i="16"/>
  <c r="F13" i="16"/>
  <c r="F8" i="16"/>
  <c r="C13" i="18"/>
  <c r="E23" i="18" s="1"/>
  <c r="C32" i="16"/>
  <c r="C40" i="16" s="1"/>
  <c r="B32" i="16"/>
  <c r="B40" i="16" s="1"/>
  <c r="B30" i="16"/>
  <c r="B38" i="16" s="1"/>
  <c r="B29" i="16"/>
  <c r="B37" i="16" s="1"/>
  <c r="B21" i="16"/>
  <c r="B31" i="16" s="1"/>
  <c r="B39" i="16" s="1"/>
  <c r="B20" i="16"/>
  <c r="B19" i="16"/>
  <c r="D18" i="16"/>
  <c r="B18" i="16"/>
  <c r="B28" i="16" s="1"/>
  <c r="B36" i="16" s="1"/>
  <c r="B17" i="16"/>
  <c r="B27" i="16" s="1"/>
  <c r="B35" i="16" s="1"/>
  <c r="C12" i="16"/>
  <c r="C21" i="16" s="1"/>
  <c r="C31" i="16" s="1"/>
  <c r="C39" i="16" s="1"/>
  <c r="C11" i="16"/>
  <c r="C20" i="16" s="1"/>
  <c r="C30" i="16" s="1"/>
  <c r="C38" i="16" s="1"/>
  <c r="D19" i="16"/>
  <c r="C10" i="16"/>
  <c r="C19" i="16" s="1"/>
  <c r="C29" i="16" s="1"/>
  <c r="C37" i="16" s="1"/>
  <c r="C9" i="16"/>
  <c r="C18" i="16" s="1"/>
  <c r="C28" i="16" s="1"/>
  <c r="C36" i="16" s="1"/>
  <c r="C8" i="16"/>
  <c r="C17" i="16" s="1"/>
  <c r="C27" i="16" s="1"/>
  <c r="C35" i="16" s="1"/>
  <c r="F9" i="11"/>
  <c r="F10" i="11"/>
  <c r="F11" i="11"/>
  <c r="F12" i="11"/>
  <c r="F13" i="11"/>
  <c r="F8" i="11"/>
  <c r="D13" i="11"/>
  <c r="D42" i="9"/>
  <c r="C30" i="7"/>
  <c r="C30" i="9"/>
  <c r="C17" i="9"/>
  <c r="C26" i="9" s="1"/>
  <c r="C27" i="9" s="1"/>
  <c r="C17" i="7"/>
  <c r="C18" i="7" s="1"/>
  <c r="E38" i="5"/>
  <c r="D13" i="16" l="1"/>
  <c r="D22" i="11"/>
  <c r="L13" i="11"/>
  <c r="C20" i="9"/>
  <c r="G13" i="16"/>
  <c r="H13" i="16" s="1"/>
  <c r="D32" i="16" s="1"/>
  <c r="D40" i="16" s="1"/>
  <c r="E40" i="16" s="1"/>
  <c r="F40" i="16" s="1"/>
  <c r="G40" i="16" s="1"/>
  <c r="H40" i="16" s="1"/>
  <c r="I40" i="16" s="1"/>
  <c r="J40" i="16" s="1"/>
  <c r="C18" i="9"/>
  <c r="C19" i="9"/>
  <c r="G10" i="16"/>
  <c r="H10" i="16" s="1"/>
  <c r="D29" i="16" s="1"/>
  <c r="D37" i="16" s="1"/>
  <c r="E37" i="16" s="1"/>
  <c r="F37" i="16" s="1"/>
  <c r="C19" i="7"/>
  <c r="D36" i="16"/>
  <c r="E36" i="16" s="1"/>
  <c r="F36" i="16" s="1"/>
  <c r="G36" i="16" s="1"/>
  <c r="H36" i="16" s="1"/>
  <c r="I36" i="16" s="1"/>
  <c r="J36" i="16" s="1"/>
  <c r="E28" i="16"/>
  <c r="F28" i="16" s="1"/>
  <c r="G28" i="16" s="1"/>
  <c r="H28" i="16" s="1"/>
  <c r="I28" i="16" s="1"/>
  <c r="J28" i="16" s="1"/>
  <c r="D40" i="14"/>
  <c r="E29" i="15"/>
  <c r="E30" i="15"/>
  <c r="E31" i="15"/>
  <c r="E32" i="15"/>
  <c r="E33" i="15"/>
  <c r="E34" i="15"/>
  <c r="E35" i="15"/>
  <c r="D8" i="15"/>
  <c r="E8" i="15" s="1"/>
  <c r="B8" i="15"/>
  <c r="E7" i="15"/>
  <c r="B7" i="15"/>
  <c r="E6" i="15"/>
  <c r="C16" i="4"/>
  <c r="E16" i="4" s="1"/>
  <c r="C21" i="4"/>
  <c r="E21" i="4" s="1"/>
  <c r="C24" i="15"/>
  <c r="C25" i="15" s="1"/>
  <c r="E23" i="15"/>
  <c r="E22" i="15"/>
  <c r="E21" i="15"/>
  <c r="E19" i="15"/>
  <c r="C14" i="15"/>
  <c r="D12" i="15"/>
  <c r="D13" i="15" s="1"/>
  <c r="E13" i="15" s="1"/>
  <c r="D9" i="15"/>
  <c r="E9" i="15" s="1"/>
  <c r="D5" i="15"/>
  <c r="E5" i="15" s="1"/>
  <c r="B5" i="15"/>
  <c r="B14" i="15" s="1"/>
  <c r="D4" i="15"/>
  <c r="E4" i="15" s="1"/>
  <c r="B4" i="15"/>
  <c r="B13" i="15" s="1"/>
  <c r="E3" i="15"/>
  <c r="E32" i="16" l="1"/>
  <c r="F32" i="16" s="1"/>
  <c r="G32" i="16" s="1"/>
  <c r="H32" i="16" s="1"/>
  <c r="I32" i="16" s="1"/>
  <c r="J32" i="16" s="1"/>
  <c r="C29" i="9"/>
  <c r="C28" i="9"/>
  <c r="E29" i="16"/>
  <c r="F29" i="16" s="1"/>
  <c r="G29" i="16" s="1"/>
  <c r="H29" i="16" s="1"/>
  <c r="I29" i="16" s="1"/>
  <c r="J29" i="16" s="1"/>
  <c r="G37" i="16"/>
  <c r="D10" i="15"/>
  <c r="E10" i="15" s="1"/>
  <c r="E36" i="15"/>
  <c r="E40" i="15" s="1"/>
  <c r="E12" i="15"/>
  <c r="E24" i="15"/>
  <c r="C22" i="4"/>
  <c r="E22" i="4" s="1"/>
  <c r="C18" i="4"/>
  <c r="C17" i="4"/>
  <c r="E17" i="4" s="1"/>
  <c r="E25" i="15"/>
  <c r="B10" i="15"/>
  <c r="B11" i="15"/>
  <c r="D11" i="15"/>
  <c r="D29" i="14"/>
  <c r="E29" i="14" s="1"/>
  <c r="D28" i="14"/>
  <c r="E28" i="14" s="1"/>
  <c r="J7" i="7"/>
  <c r="J6" i="7"/>
  <c r="E20" i="15"/>
  <c r="C31" i="4"/>
  <c r="B21" i="11"/>
  <c r="B31" i="11" s="1"/>
  <c r="B39" i="11" s="1"/>
  <c r="B20" i="11"/>
  <c r="B19" i="11"/>
  <c r="D11" i="11"/>
  <c r="C11" i="11"/>
  <c r="C20" i="11" s="1"/>
  <c r="C30" i="11" s="1"/>
  <c r="C38" i="11" s="1"/>
  <c r="C10" i="11"/>
  <c r="C19" i="11" s="1"/>
  <c r="C29" i="11" s="1"/>
  <c r="C37" i="11" s="1"/>
  <c r="D20" i="11" l="1"/>
  <c r="L11" i="11"/>
  <c r="D11" i="16"/>
  <c r="H37" i="16"/>
  <c r="E26" i="15"/>
  <c r="E39" i="15" s="1"/>
  <c r="E18" i="4"/>
  <c r="C19" i="4"/>
  <c r="D14" i="15"/>
  <c r="E14" i="15" s="1"/>
  <c r="E11" i="15"/>
  <c r="J10" i="7"/>
  <c r="D27" i="14"/>
  <c r="E27" i="14" s="1"/>
  <c r="E26" i="14"/>
  <c r="B22" i="14"/>
  <c r="C21" i="14"/>
  <c r="C22" i="14" s="1"/>
  <c r="E22" i="14" s="1"/>
  <c r="E20" i="14"/>
  <c r="E19" i="14"/>
  <c r="E18" i="14"/>
  <c r="E17" i="14"/>
  <c r="C12" i="14"/>
  <c r="E12" i="14" s="1"/>
  <c r="D11" i="14"/>
  <c r="E11" i="14" s="1"/>
  <c r="E10" i="14"/>
  <c r="C9" i="14"/>
  <c r="E9" i="14" s="1"/>
  <c r="D8" i="14"/>
  <c r="E8" i="14" s="1"/>
  <c r="E7" i="14"/>
  <c r="E6" i="14"/>
  <c r="D5" i="14"/>
  <c r="E5" i="14" s="1"/>
  <c r="E4" i="14"/>
  <c r="D11" i="7"/>
  <c r="D8" i="7"/>
  <c r="D5" i="7"/>
  <c r="D11" i="4"/>
  <c r="D8" i="4"/>
  <c r="D5" i="4"/>
  <c r="C21" i="5"/>
  <c r="C22" i="5" s="1"/>
  <c r="C21" i="9"/>
  <c r="C22" i="9" s="1"/>
  <c r="C21" i="7"/>
  <c r="D12" i="11"/>
  <c r="D21" i="11" l="1"/>
  <c r="L12" i="11"/>
  <c r="D12" i="16"/>
  <c r="G11" i="16"/>
  <c r="D20" i="16"/>
  <c r="C22" i="7"/>
  <c r="C20" i="7"/>
  <c r="I37" i="16"/>
  <c r="E15" i="15"/>
  <c r="E38" i="15" s="1"/>
  <c r="E41" i="15" s="1"/>
  <c r="E44" i="15" s="1"/>
  <c r="C20" i="4"/>
  <c r="E20" i="4" s="1"/>
  <c r="E19" i="4"/>
  <c r="E23" i="4" s="1"/>
  <c r="E13" i="14"/>
  <c r="C33" i="14" s="1"/>
  <c r="E30" i="14"/>
  <c r="C35" i="14" s="1"/>
  <c r="E21" i="14"/>
  <c r="E23" i="14" s="1"/>
  <c r="C34" i="14" s="1"/>
  <c r="B18" i="11"/>
  <c r="B28" i="11" s="1"/>
  <c r="B36" i="11" s="1"/>
  <c r="B17" i="11"/>
  <c r="B27" i="11" s="1"/>
  <c r="B35" i="11" s="1"/>
  <c r="C9" i="11"/>
  <c r="C18" i="11" s="1"/>
  <c r="C28" i="11" s="1"/>
  <c r="C36" i="11" s="1"/>
  <c r="C8" i="11"/>
  <c r="C17" i="11" s="1"/>
  <c r="C27" i="11" s="1"/>
  <c r="C35" i="11" s="1"/>
  <c r="C12" i="11"/>
  <c r="C21" i="11" s="1"/>
  <c r="C31" i="11" s="1"/>
  <c r="C39" i="11" s="1"/>
  <c r="D21" i="16" l="1"/>
  <c r="G12" i="16"/>
  <c r="H12" i="16" s="1"/>
  <c r="D31" i="16" s="1"/>
  <c r="D8" i="16"/>
  <c r="H11" i="16"/>
  <c r="J37" i="16"/>
  <c r="E46" i="15"/>
  <c r="G13" i="11" s="1"/>
  <c r="C36" i="14"/>
  <c r="D39" i="14" s="1"/>
  <c r="D41" i="14" s="1"/>
  <c r="G11" i="11" s="1"/>
  <c r="H11" i="11" s="1"/>
  <c r="D30" i="11" s="1"/>
  <c r="C9" i="7"/>
  <c r="C12" i="7"/>
  <c r="E31" i="9"/>
  <c r="D39" i="16" l="1"/>
  <c r="E39" i="16" s="1"/>
  <c r="F39" i="16" s="1"/>
  <c r="G39" i="16" s="1"/>
  <c r="H39" i="16" s="1"/>
  <c r="I39" i="16" s="1"/>
  <c r="J39" i="16" s="1"/>
  <c r="E31" i="16"/>
  <c r="F31" i="16" s="1"/>
  <c r="G31" i="16" s="1"/>
  <c r="H31" i="16" s="1"/>
  <c r="I31" i="16" s="1"/>
  <c r="J31" i="16" s="1"/>
  <c r="G8" i="16"/>
  <c r="D17" i="16"/>
  <c r="I8" i="16"/>
  <c r="E30" i="11"/>
  <c r="D38" i="11"/>
  <c r="D30" i="16"/>
  <c r="H13" i="11"/>
  <c r="D32" i="11" s="1"/>
  <c r="D20" i="9"/>
  <c r="D6" i="9"/>
  <c r="C11" i="5"/>
  <c r="D5" i="5"/>
  <c r="B5" i="5"/>
  <c r="B11" i="5" s="1"/>
  <c r="D17" i="5"/>
  <c r="D19" i="9" s="1"/>
  <c r="E7" i="4"/>
  <c r="E8" i="4"/>
  <c r="E10" i="4"/>
  <c r="E11" i="4"/>
  <c r="E12" i="4"/>
  <c r="E9" i="4"/>
  <c r="E6" i="4"/>
  <c r="E32" i="11" l="1"/>
  <c r="F32" i="11" s="1"/>
  <c r="G32" i="11" s="1"/>
  <c r="H32" i="11" s="1"/>
  <c r="I32" i="11" s="1"/>
  <c r="J32" i="11" s="1"/>
  <c r="D40" i="11"/>
  <c r="E40" i="11" s="1"/>
  <c r="F40" i="11" s="1"/>
  <c r="G40" i="11" s="1"/>
  <c r="H40" i="11" s="1"/>
  <c r="I40" i="11" s="1"/>
  <c r="J40" i="11" s="1"/>
  <c r="H8" i="16"/>
  <c r="G14" i="16"/>
  <c r="E38" i="11"/>
  <c r="E30" i="16"/>
  <c r="D38" i="16"/>
  <c r="F30" i="11"/>
  <c r="E5" i="5"/>
  <c r="D12" i="9"/>
  <c r="D9" i="9"/>
  <c r="D8" i="5"/>
  <c r="D11" i="5" s="1"/>
  <c r="E11" i="5" s="1"/>
  <c r="B6" i="9"/>
  <c r="B6" i="14" s="1"/>
  <c r="E6" i="9"/>
  <c r="B8" i="5"/>
  <c r="D4" i="9"/>
  <c r="D5" i="9" s="1"/>
  <c r="B5" i="9"/>
  <c r="B8" i="9" s="1"/>
  <c r="D6" i="5"/>
  <c r="D7" i="5" s="1"/>
  <c r="D9" i="5"/>
  <c r="D10" i="5" s="1"/>
  <c r="D3" i="5"/>
  <c r="D4" i="5" s="1"/>
  <c r="B4" i="5"/>
  <c r="B5" i="14" s="1"/>
  <c r="D27" i="16" l="1"/>
  <c r="H14" i="16"/>
  <c r="J16" i="16" s="1"/>
  <c r="E38" i="16"/>
  <c r="F30" i="16"/>
  <c r="G30" i="11"/>
  <c r="F38" i="11"/>
  <c r="B11" i="14"/>
  <c r="B8" i="14"/>
  <c r="B9" i="14"/>
  <c r="B12" i="14"/>
  <c r="E8" i="5"/>
  <c r="E6" i="7"/>
  <c r="E7" i="7"/>
  <c r="B12" i="9"/>
  <c r="B6" i="7"/>
  <c r="B10" i="5"/>
  <c r="B9" i="9"/>
  <c r="E9" i="5"/>
  <c r="E10" i="5" s="1"/>
  <c r="E6" i="5"/>
  <c r="E7" i="5" s="1"/>
  <c r="B5" i="7"/>
  <c r="B11" i="7" s="1"/>
  <c r="D10" i="9"/>
  <c r="D11" i="9" s="1"/>
  <c r="B11" i="9"/>
  <c r="B7" i="5"/>
  <c r="E30" i="9"/>
  <c r="C28" i="7"/>
  <c r="C29" i="7" s="1"/>
  <c r="B22" i="7"/>
  <c r="B22" i="9" s="1"/>
  <c r="D22" i="5"/>
  <c r="E22" i="5" s="1"/>
  <c r="D29" i="9"/>
  <c r="E29" i="9" s="1"/>
  <c r="D28" i="9"/>
  <c r="E28" i="9" s="1"/>
  <c r="D27" i="9"/>
  <c r="E27" i="9" s="1"/>
  <c r="D26" i="9"/>
  <c r="E26" i="9" s="1"/>
  <c r="D21" i="9"/>
  <c r="E21" i="9" s="1"/>
  <c r="E20" i="9"/>
  <c r="E19" i="9"/>
  <c r="E18" i="9"/>
  <c r="D17" i="9"/>
  <c r="E17" i="9" s="1"/>
  <c r="E27" i="16" l="1"/>
  <c r="D35" i="16"/>
  <c r="D33" i="16"/>
  <c r="G38" i="11"/>
  <c r="H30" i="11"/>
  <c r="F38" i="16"/>
  <c r="G30" i="16"/>
  <c r="E12" i="7"/>
  <c r="E9" i="7"/>
  <c r="B8" i="7"/>
  <c r="B12" i="7"/>
  <c r="B9" i="7"/>
  <c r="E32" i="9"/>
  <c r="C37" i="9" s="1"/>
  <c r="E11" i="9"/>
  <c r="E10" i="9"/>
  <c r="E23" i="9"/>
  <c r="C36" i="9" s="1"/>
  <c r="E22" i="7"/>
  <c r="E31" i="4"/>
  <c r="F27" i="16" l="1"/>
  <c r="E33" i="16"/>
  <c r="E35" i="16"/>
  <c r="D41" i="16"/>
  <c r="H38" i="11"/>
  <c r="H30" i="16"/>
  <c r="G38" i="16"/>
  <c r="I30" i="11"/>
  <c r="D28" i="7"/>
  <c r="E28" i="7" s="1"/>
  <c r="D27" i="7"/>
  <c r="E27" i="7" s="1"/>
  <c r="E26" i="7"/>
  <c r="E20" i="7"/>
  <c r="E18" i="7"/>
  <c r="B21" i="5"/>
  <c r="B21" i="14" s="1"/>
  <c r="E19" i="5"/>
  <c r="E19" i="7"/>
  <c r="E17" i="5"/>
  <c r="E10" i="7"/>
  <c r="E11" i="7" s="1"/>
  <c r="E30" i="7"/>
  <c r="E31" i="7"/>
  <c r="E27" i="5"/>
  <c r="E28" i="5"/>
  <c r="E26" i="5"/>
  <c r="E29" i="5" s="1"/>
  <c r="G27" i="16" l="1"/>
  <c r="F33" i="16"/>
  <c r="F35" i="16"/>
  <c r="E41" i="16"/>
  <c r="I30" i="16"/>
  <c r="J30" i="11"/>
  <c r="H38" i="16"/>
  <c r="I38" i="11"/>
  <c r="B21" i="7"/>
  <c r="B21" i="9"/>
  <c r="E21" i="7"/>
  <c r="D21" i="5"/>
  <c r="E21" i="5" s="1"/>
  <c r="E8" i="7"/>
  <c r="D7" i="9"/>
  <c r="D8" i="9" s="1"/>
  <c r="E33" i="5"/>
  <c r="B16" i="5"/>
  <c r="B17" i="5"/>
  <c r="B19" i="9" s="1"/>
  <c r="B20" i="5"/>
  <c r="B19" i="5"/>
  <c r="B19" i="14" s="1"/>
  <c r="B18" i="5"/>
  <c r="E3" i="5"/>
  <c r="E4" i="5" s="1"/>
  <c r="D29" i="7"/>
  <c r="E29" i="7" s="1"/>
  <c r="E32" i="7" s="1"/>
  <c r="C37" i="7" s="1"/>
  <c r="E18" i="5"/>
  <c r="E20" i="5"/>
  <c r="E4" i="7"/>
  <c r="G35" i="16" l="1"/>
  <c r="F41" i="16"/>
  <c r="H27" i="16"/>
  <c r="G33" i="16"/>
  <c r="J30" i="16"/>
  <c r="J38" i="11"/>
  <c r="I38" i="16"/>
  <c r="E5" i="7"/>
  <c r="E13" i="7" s="1"/>
  <c r="C35" i="7" s="1"/>
  <c r="B18" i="9"/>
  <c r="B18" i="14"/>
  <c r="B20" i="7"/>
  <c r="B20" i="14"/>
  <c r="B17" i="7"/>
  <c r="B17" i="14"/>
  <c r="B19" i="7"/>
  <c r="B20" i="9"/>
  <c r="E7" i="9"/>
  <c r="E8" i="9" s="1"/>
  <c r="E9" i="9"/>
  <c r="E12" i="9"/>
  <c r="E12" i="5"/>
  <c r="B18" i="7"/>
  <c r="E4" i="9"/>
  <c r="I27" i="16" l="1"/>
  <c r="H33" i="16"/>
  <c r="H35" i="16"/>
  <c r="G41" i="16"/>
  <c r="J38" i="16"/>
  <c r="B17" i="9"/>
  <c r="E5" i="9"/>
  <c r="E13" i="9" s="1"/>
  <c r="C35" i="9" s="1"/>
  <c r="C38" i="9" s="1"/>
  <c r="D41" i="9" s="1"/>
  <c r="D43" i="9" s="1"/>
  <c r="E31" i="5"/>
  <c r="E32" i="4"/>
  <c r="E30" i="4"/>
  <c r="E29" i="4"/>
  <c r="E28" i="4"/>
  <c r="E27" i="4"/>
  <c r="E26" i="4"/>
  <c r="E4" i="4"/>
  <c r="I35" i="16" l="1"/>
  <c r="H41" i="16"/>
  <c r="J27" i="16"/>
  <c r="J33" i="16" s="1"/>
  <c r="I33" i="16"/>
  <c r="G12" i="11"/>
  <c r="H12" i="11" s="1"/>
  <c r="D31" i="11" s="1"/>
  <c r="E33" i="4"/>
  <c r="E37" i="4" s="1"/>
  <c r="E5" i="4"/>
  <c r="E31" i="11" l="1"/>
  <c r="F31" i="11" s="1"/>
  <c r="G31" i="11" s="1"/>
  <c r="H31" i="11" s="1"/>
  <c r="I31" i="11" s="1"/>
  <c r="J31" i="11" s="1"/>
  <c r="D39" i="11"/>
  <c r="E39" i="11" s="1"/>
  <c r="F39" i="11" s="1"/>
  <c r="G39" i="11" s="1"/>
  <c r="H39" i="11" s="1"/>
  <c r="I39" i="11" s="1"/>
  <c r="J39" i="11" s="1"/>
  <c r="J35" i="16"/>
  <c r="J41" i="16" s="1"/>
  <c r="I41" i="16"/>
  <c r="E13" i="4"/>
  <c r="E35" i="4" s="1"/>
  <c r="C13" i="2"/>
  <c r="E23" i="2" s="1"/>
  <c r="E17" i="7" l="1"/>
  <c r="E23" i="7" s="1"/>
  <c r="D16" i="5"/>
  <c r="C36" i="7" l="1"/>
  <c r="C38" i="7" s="1"/>
  <c r="D41" i="7" s="1"/>
  <c r="D43" i="7" s="1"/>
  <c r="G10" i="11" s="1"/>
  <c r="H10" i="11" s="1"/>
  <c r="D29" i="11" s="1"/>
  <c r="E16" i="5"/>
  <c r="E23" i="5" s="1"/>
  <c r="D37" i="11" l="1"/>
  <c r="E37" i="11" s="1"/>
  <c r="F37" i="11" s="1"/>
  <c r="G37" i="11" s="1"/>
  <c r="H37" i="11" s="1"/>
  <c r="I37" i="11" s="1"/>
  <c r="J37" i="11" s="1"/>
  <c r="E29" i="11"/>
  <c r="F29" i="11" s="1"/>
  <c r="G29" i="11" s="1"/>
  <c r="H29" i="11" s="1"/>
  <c r="I29" i="11" s="1"/>
  <c r="J29" i="11" s="1"/>
  <c r="E36" i="4"/>
  <c r="E38" i="4" s="1"/>
  <c r="E41" i="4" s="1"/>
  <c r="E43" i="4" s="1"/>
  <c r="E32" i="5"/>
  <c r="E34" i="5" s="1"/>
  <c r="E37" i="5" s="1"/>
  <c r="E39" i="5" s="1"/>
  <c r="G8" i="11" l="1"/>
  <c r="I8" i="11"/>
  <c r="G9" i="11"/>
  <c r="H9" i="11" s="1"/>
  <c r="D28" i="11" s="1"/>
  <c r="D36" i="11" l="1"/>
  <c r="E36" i="11" s="1"/>
  <c r="F36" i="11" s="1"/>
  <c r="G36" i="11" s="1"/>
  <c r="H36" i="11" s="1"/>
  <c r="I36" i="11" s="1"/>
  <c r="J36" i="11" s="1"/>
  <c r="E28" i="11"/>
  <c r="F28" i="11" s="1"/>
  <c r="G28" i="11" s="1"/>
  <c r="H28" i="11" s="1"/>
  <c r="I28" i="11" s="1"/>
  <c r="J28" i="11" s="1"/>
  <c r="H8" i="11"/>
  <c r="G14" i="11"/>
  <c r="H14" i="11" l="1"/>
  <c r="J16" i="11" s="1"/>
  <c r="D27" i="11"/>
  <c r="E27" i="11" l="1"/>
  <c r="D35" i="11"/>
  <c r="D33" i="11"/>
  <c r="E35" i="11" l="1"/>
  <c r="D41" i="11"/>
  <c r="F27" i="11"/>
  <c r="E33" i="11"/>
  <c r="G27" i="11" l="1"/>
  <c r="F33" i="11"/>
  <c r="F35" i="11"/>
  <c r="E41" i="11"/>
  <c r="G35" i="11" l="1"/>
  <c r="F41" i="11"/>
  <c r="H27" i="11"/>
  <c r="G33" i="11"/>
  <c r="I27" i="11" l="1"/>
  <c r="H33" i="11"/>
  <c r="H35" i="11"/>
  <c r="G41" i="11"/>
  <c r="I35" i="11" l="1"/>
  <c r="H41" i="11"/>
  <c r="J27" i="11"/>
  <c r="J33" i="11" s="1"/>
  <c r="I33" i="11"/>
  <c r="J35" i="11" l="1"/>
  <c r="J41" i="11" s="1"/>
  <c r="I41" i="11"/>
</calcChain>
</file>

<file path=xl/sharedStrings.xml><?xml version="1.0" encoding="utf-8"?>
<sst xmlns="http://schemas.openxmlformats.org/spreadsheetml/2006/main" count="539" uniqueCount="152">
  <si>
    <t xml:space="preserve">ITEM </t>
  </si>
  <si>
    <t>DESCRIÇÃO</t>
  </si>
  <si>
    <t xml:space="preserve">QUANTIDADE </t>
  </si>
  <si>
    <t>V. UNITÁRIO</t>
  </si>
  <si>
    <t>V. TOTAL</t>
  </si>
  <si>
    <t>TOTAL MENSAL</t>
  </si>
  <si>
    <t>CUSTO MÃO-DE-OBRA</t>
  </si>
  <si>
    <t>CUSTO EPI´S</t>
  </si>
  <si>
    <t>CUSTO FERRAMENTAS</t>
  </si>
  <si>
    <t>UNIDADE</t>
  </si>
  <si>
    <t>DEMONSTRAÇÃO DE BDI - DESONERADO - Acórdão 2622/2013</t>
  </si>
  <si>
    <t>TIPO DE OBRA:</t>
  </si>
  <si>
    <t>FORNECIMENTO DE MATERIAIS E EQUIPAMENTOS</t>
  </si>
  <si>
    <t>IMPOSTOS:</t>
  </si>
  <si>
    <t>TRIBUTOS:</t>
  </si>
  <si>
    <t>%</t>
  </si>
  <si>
    <t>ISS BRUTO:</t>
  </si>
  <si>
    <t>INCIDENCIA SOBRE MO:</t>
  </si>
  <si>
    <t>CPRB</t>
  </si>
  <si>
    <t>TOTAL TRIBUSTOS:</t>
  </si>
  <si>
    <t>ADOTADO</t>
  </si>
  <si>
    <t>BDI DESONERADO ADOTADO</t>
  </si>
  <si>
    <t>____________________________________________</t>
  </si>
  <si>
    <t>PÁ COM CABO                                                                 COTAÇÃO</t>
  </si>
  <si>
    <t>PÁ PARA LIXO                                                              COTAÇÃO</t>
  </si>
  <si>
    <t>RASTELO COM CABO                                                      COTAÇÃO</t>
  </si>
  <si>
    <t>VASSOURÃO COM CABO                                                          COTAÇÃO</t>
  </si>
  <si>
    <t>LOTUCAR                                                                        COTAÇÃO</t>
  </si>
  <si>
    <t>VALOR TOTAL GERAL DE VARRIÇÃO MENSAL</t>
  </si>
  <si>
    <t>R$</t>
  </si>
  <si>
    <t>QUANT.</t>
  </si>
  <si>
    <t>VALOR TOTAL GERAL DA PINTURA</t>
  </si>
  <si>
    <t>UND</t>
  </si>
  <si>
    <t>R$/UND</t>
  </si>
  <si>
    <t>ROÇADEIRA COSTAL CHP                                                         COTAÇÃO</t>
  </si>
  <si>
    <t>VALOR TOTAL GERAL DA CAPINAÇÃO</t>
  </si>
  <si>
    <t>ÁREA CAPINAÇÃO</t>
  </si>
  <si>
    <t>M2</t>
  </si>
  <si>
    <t>R$/M2</t>
  </si>
  <si>
    <t>BALDE PLASTICO 12 L                                                            COTAÇÃO</t>
  </si>
  <si>
    <t>BROXA   COM CABO                                                         COTAÇÃO</t>
  </si>
  <si>
    <t>ENXADA COM CABO                                        COTAÇÃO</t>
  </si>
  <si>
    <t>ENXADA COM CABO                                                                      COTAÇÃO</t>
  </si>
  <si>
    <t>EXTENSÃO PINTURA</t>
  </si>
  <si>
    <t>UNIFORME COM FAIXA REFLETIVA                            COTAÇÃO</t>
  </si>
  <si>
    <t>SACO DE LIXO                                                100 L         COTAÇÃO</t>
  </si>
  <si>
    <t>SERVIÇO</t>
  </si>
  <si>
    <t>Coluna1</t>
  </si>
  <si>
    <t>Coluna2</t>
  </si>
  <si>
    <t>Coluna3</t>
  </si>
  <si>
    <t>Coluna4</t>
  </si>
  <si>
    <t>Coluna5</t>
  </si>
  <si>
    <t>EPIs</t>
  </si>
  <si>
    <t>MÃO DE OBRA</t>
  </si>
  <si>
    <t>EQUIPAMENTOS E FERRAMENTAS</t>
  </si>
  <si>
    <t>LUVA DE PVC                                                                          SINDUSCON/MS -  MARÇO/2022</t>
  </si>
  <si>
    <t>CAPA DE CHUVA                                                                            SINDUSCON/MS - MARÇO/2022</t>
  </si>
  <si>
    <t>MASCARA DESCARTAVEL                                                             SINDUSCON/MS - MARÇO/2022</t>
  </si>
  <si>
    <t>RESUMO DESPESAS</t>
  </si>
  <si>
    <t>VALOR DA COMPOSIÇÃO</t>
  </si>
  <si>
    <t>TOTAL:</t>
  </si>
  <si>
    <t>EPI´S</t>
  </si>
  <si>
    <t xml:space="preserve">ENXADA COM CABO                                     </t>
  </si>
  <si>
    <t>MOTO SERRA CHP                                                         COTAÇÃO</t>
  </si>
  <si>
    <t>UNIDADE PODA</t>
  </si>
  <si>
    <t>VALOR TOTAL GERAL DA PODA</t>
  </si>
  <si>
    <t>VALOR DA PODA  POR UNIDADE</t>
  </si>
  <si>
    <t>QUANTIDADE</t>
  </si>
  <si>
    <t>V. TOTAL ANUAL</t>
  </si>
  <si>
    <t>BDI: SERVIÇO: 21,72%</t>
  </si>
  <si>
    <t>V. UNITÁRIO     S/ BDI</t>
  </si>
  <si>
    <t>V. UNITÁRIO  C/ BDI</t>
  </si>
  <si>
    <t>V. TOTAL MENSAL</t>
  </si>
  <si>
    <t>Varrição</t>
  </si>
  <si>
    <t>Pintura de meio-fio</t>
  </si>
  <si>
    <t>Corte, poda de arvore e coleta de entulhos e galhos</t>
  </si>
  <si>
    <t>Capinação e coleta de grama</t>
  </si>
  <si>
    <t>TOTAL</t>
  </si>
  <si>
    <t>VALOR</t>
  </si>
  <si>
    <t>ENCARGOS SOCIAIS - MENSALISTAS - 83,39%</t>
  </si>
  <si>
    <t>VALOR TOTAL GERAL DA  LIMPEZA DE BUEIRO</t>
  </si>
  <si>
    <t>UNIDADE BOCA DE BUEIRO</t>
  </si>
  <si>
    <t>VALOR DA LIMPEZA POR UNIDADE</t>
  </si>
  <si>
    <t>Limpeza de Bueiro</t>
  </si>
  <si>
    <t>VALOR DA CAPINAÇÃO POR M2</t>
  </si>
  <si>
    <t>m</t>
  </si>
  <si>
    <t>R$/m</t>
  </si>
  <si>
    <t>VALOR DA PINTURA POR M</t>
  </si>
  <si>
    <t>GARI DE VARRIÇÃO - PISO SALARIAL - CONVENÇÃO COLETIVA 2023 - STEAC/MS</t>
  </si>
  <si>
    <t>AUXILIO ALIMENTAÇÃO - CONVENÇÃO COLETIVA 2023 - STEAC/MS</t>
  </si>
  <si>
    <t xml:space="preserve">ENCARREGADO DE ASSEIO E CONSERVAÇÃO - PISO SALARIAL - CONVENÇÃO COLETIVA 2023 - STEAC/MS - </t>
  </si>
  <si>
    <t xml:space="preserve">MOTORISTA- PISO SALARIAL - CONVENÇÃO COLETIVA 2023 - STEAC/MS - </t>
  </si>
  <si>
    <t>CONVENÇÃO COLETIVA 2023 - STEAC/MS</t>
  </si>
  <si>
    <t>Auxiliar Operacional de Campo - GARI DE CAIAÇÃO - PISO SALARIAL - CONVENÇÃO COLETIVA 2023 - STEAC/MS</t>
  </si>
  <si>
    <t>Auxiliar Operacional de Campo - GARI DE CAPINAÇÃO - PISO SALARIAL - CONVENÇÃO COLETIVA 2023 - STEAC/MS</t>
  </si>
  <si>
    <t>Auxiliar Operacional de Campo - GARI DE BUEIRO - PISO SALARIAL - CONVENÇÃO COLETIVA 2023 - STEAC/MS</t>
  </si>
  <si>
    <t>Auxiliar Operacional de Campo - GARI DE LIMPEZA BUEIRO - PISO SALARIAL - CONVENÇÃO COLETIVA 2023 - STEAC/MS</t>
  </si>
  <si>
    <t>LUVA RASPA DE COURO, CANO CURTO                              SINAPI/FEV/2023</t>
  </si>
  <si>
    <t>OCULOS DE SEGURANÇA                                       SINAPI/FEV/2023</t>
  </si>
  <si>
    <t>BOTA DE SEGURANÇA                                                            SINAPI/FEV/2023</t>
  </si>
  <si>
    <t>CAL PINTURA                 KG                                    SINAPI 11161 FEV /2023/DES</t>
  </si>
  <si>
    <t>mês 1</t>
  </si>
  <si>
    <t>mês 2</t>
  </si>
  <si>
    <t>Reparo em meio-fio</t>
  </si>
  <si>
    <t>LOCAL: Ribas do Rio Pardo</t>
  </si>
  <si>
    <t>Contratação de empresa especializada na prestação de serviços de limpeza e conservação de vias, logradouros, parques, praças e espaços públicos, pintura ou caiação de meio-fio e poda de árvores, com o fornecimento de todos os equipamentos, máquinas, implementos, veículos, ferramentas, combustíveis, equipe técnica, bem como demais insumos que se fizerem necessários</t>
  </si>
  <si>
    <t>Auxiliar Operacional de Campo - PEDREIRO - PISO SALARIAL - CONVENÇÃO COLETIVA 2023 - STEAC/MS</t>
  </si>
  <si>
    <t>SINAPI: fev/2023 -c/ desoneração                                                                                                    SBC FEV/2023</t>
  </si>
  <si>
    <t>CIMENTO PORTLAND CP III 32RS NBR 11578 (quilo) - SBC/MS/MARÇO/2023</t>
  </si>
  <si>
    <t>AREIA GROSSA LAVADA-SBC/MS/MARÇO/2023</t>
  </si>
  <si>
    <t>PEDRA BRITADA #1 E 2-SBC/MS/MARÇO/2023</t>
  </si>
  <si>
    <t>TABUA TERCEIRA QUALIDADE NAO APARELHADA-SBC/MS/MARÇO/2023</t>
  </si>
  <si>
    <t>PONTALETE 7,5x7,5cm (3x3") PERNA/BARROTE/ESTRONCA-SBC/MS/MARÇO/2023</t>
  </si>
  <si>
    <t>0,84</t>
  </si>
  <si>
    <t>91,17</t>
  </si>
  <si>
    <t>96,99</t>
  </si>
  <si>
    <t>12,81</t>
  </si>
  <si>
    <t>8,74</t>
  </si>
  <si>
    <t>Auxiliar Operacional de Campo -  PISO SALARIAL - CONVENÇÃO COLETIVA 2023 - STEAC/MS</t>
  </si>
  <si>
    <t>VALOR TOTAL GERAL DO REPARO</t>
  </si>
  <si>
    <t>VALOR DO REPARO POR M</t>
  </si>
  <si>
    <t>mês 3</t>
  </si>
  <si>
    <t>mês 4</t>
  </si>
  <si>
    <t>mês 5</t>
  </si>
  <si>
    <t>mês 6</t>
  </si>
  <si>
    <t>und</t>
  </si>
  <si>
    <t>mês 7</t>
  </si>
  <si>
    <t>mês 8</t>
  </si>
  <si>
    <t>mês 9</t>
  </si>
  <si>
    <t>mês 10</t>
  </si>
  <si>
    <t>mês 11</t>
  </si>
  <si>
    <t>mês 12</t>
  </si>
  <si>
    <t>V. UNITÁRIO                   C/ BDI</t>
  </si>
  <si>
    <t>BDI: SERVIÇO: 15,92%</t>
  </si>
  <si>
    <t>SINAPI: fev/2023 -s/ desoneração                                                                                                    SBC FEV/2023</t>
  </si>
  <si>
    <t>R$/M</t>
  </si>
  <si>
    <t>VALOR DA VARRIÇÃO POR M</t>
  </si>
  <si>
    <t>EXTENSÃO VARRIÇÃO MENSAL</t>
  </si>
  <si>
    <t xml:space="preserve">PLANILHA ORÇAMENTÁRIA </t>
  </si>
  <si>
    <t>QUANTIDADE TOTAL</t>
  </si>
  <si>
    <t xml:space="preserve">Serviço de Varrição </t>
  </si>
  <si>
    <t>M</t>
  </si>
  <si>
    <t>Serviço de pintura  de postes e meio-fio</t>
  </si>
  <si>
    <t>Serviço de capina e roçado com coleta</t>
  </si>
  <si>
    <t>Serviço de limpeza de bueiro.</t>
  </si>
  <si>
    <t>Serviço de corte, poda de árvores e coleta de entulhos e galhos</t>
  </si>
  <si>
    <t>Serviço de reparo de meio-fio e sarjetas.</t>
  </si>
  <si>
    <t xml:space="preserve">CRONOGRAMA FÍSICO FINANCEIRO </t>
  </si>
  <si>
    <t>Serviço de pintura  de meio-fio e postes</t>
  </si>
  <si>
    <t>CAMINHÃO BASCULANTE 6 M3, PESO BRUTO TOTAL 16.000 KG, CARGA ÚTIL MÁXIMA 13.071 KG, DISTÂNCIA ENTRE EIXOS 4,80 M, POTÊNCIA 230 CV INCLUSIVE CAÇAMBA METÁLICA - CHP DIURNO SINAPI FEV/2023/DES - 5811</t>
  </si>
  <si>
    <t>SINAPI: fev/2023 -c/ desoneração         SBC FEV/2023</t>
  </si>
  <si>
    <t>OBJETO: Contratação de empresa especializada na prestação de serviços de limpeza e conservação de vias, logradouros, parques, praças e espaços públicos, pintura e reparo de meio-fio e poda de árvores, com o fornecimento de todos os equipamentos, máquinas, implementos, veículos, ferramentas, combustíveis, equipe técnica, bem como demais insumos que se fizerem necessários.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</si>
</sst>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00"/>
    <numFmt numFmtId="165" formatCode="0.0000000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</font>
    <font>
      <sz val="10"/>
      <name val="Arial"/>
      <family val="2"/>
    </font>
    <font>
      <sz val="10"/>
      <name val="Cambria"/>
      <family val="1"/>
    </font>
    <font>
      <b/>
      <sz val="16"/>
      <name val="Cambria"/>
      <family val="1"/>
    </font>
    <font>
      <b/>
      <sz val="10"/>
      <name val="Heveltica"/>
    </font>
    <font>
      <b/>
      <i/>
      <sz val="11"/>
      <color rgb="FF000000"/>
      <name val="Cambria"/>
      <family val="1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9"/>
      <color rgb="FF000000"/>
      <name val="Cambria"/>
      <family val="1"/>
    </font>
    <font>
      <b/>
      <i/>
      <sz val="9"/>
      <color rgb="FF000000"/>
      <name val="Cambria"/>
      <family val="1"/>
    </font>
    <font>
      <b/>
      <i/>
      <sz val="14"/>
      <color rgb="FF000000"/>
      <name val="Cambria"/>
      <family val="1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b/>
      <sz val="9"/>
      <color rgb="FF00000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4" fillId="0" borderId="0" xfId="3"/>
    <xf numFmtId="0" fontId="5" fillId="0" borderId="6" xfId="3" applyFont="1" applyBorder="1"/>
    <xf numFmtId="0" fontId="3" fillId="0" borderId="2" xfId="3" applyFont="1" applyBorder="1" applyAlignment="1">
      <alignment vertical="center" wrapText="1"/>
    </xf>
    <xf numFmtId="0" fontId="5" fillId="0" borderId="5" xfId="3" applyFont="1" applyBorder="1"/>
    <xf numFmtId="0" fontId="5" fillId="0" borderId="0" xfId="3" applyFont="1"/>
    <xf numFmtId="0" fontId="3" fillId="0" borderId="5" xfId="3" applyFont="1" applyBorder="1" applyAlignment="1">
      <alignment horizontal="left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3" fillId="0" borderId="0" xfId="3" applyFont="1"/>
    <xf numFmtId="0" fontId="5" fillId="0" borderId="0" xfId="3" applyFont="1" applyAlignment="1">
      <alignment horizontal="left" vertical="center"/>
    </xf>
    <xf numFmtId="2" fontId="3" fillId="0" borderId="0" xfId="3" applyNumberFormat="1" applyFont="1"/>
    <xf numFmtId="43" fontId="3" fillId="0" borderId="0" xfId="1" applyFont="1" applyBorder="1"/>
    <xf numFmtId="0" fontId="3" fillId="0" borderId="0" xfId="3" applyFont="1" applyAlignment="1">
      <alignment horizontal="right"/>
    </xf>
    <xf numFmtId="2" fontId="3" fillId="3" borderId="0" xfId="3" applyNumberFormat="1" applyFont="1" applyFill="1"/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2" fontId="3" fillId="3" borderId="2" xfId="1" applyNumberFormat="1" applyFont="1" applyFill="1" applyBorder="1" applyAlignment="1">
      <alignment horizontal="center"/>
    </xf>
    <xf numFmtId="10" fontId="3" fillId="0" borderId="2" xfId="2" applyNumberFormat="1" applyFont="1" applyFill="1" applyBorder="1" applyAlignment="1">
      <alignment horizontal="center" vertical="center"/>
    </xf>
    <xf numFmtId="0" fontId="7" fillId="0" borderId="5" xfId="3" applyFont="1" applyBorder="1"/>
    <xf numFmtId="0" fontId="4" fillId="0" borderId="6" xfId="3" applyBorder="1"/>
    <xf numFmtId="0" fontId="4" fillId="0" borderId="5" xfId="3" applyBorder="1"/>
    <xf numFmtId="0" fontId="4" fillId="0" borderId="11" xfId="3" applyBorder="1"/>
    <xf numFmtId="0" fontId="4" fillId="0" borderId="10" xfId="3" applyBorder="1"/>
    <xf numFmtId="0" fontId="4" fillId="0" borderId="12" xfId="3" applyBorder="1"/>
    <xf numFmtId="0" fontId="8" fillId="0" borderId="14" xfId="0" applyFont="1" applyBorder="1" applyAlignment="1">
      <alignment horizontal="center" vertical="center"/>
    </xf>
    <xf numFmtId="0" fontId="0" fillId="0" borderId="4" xfId="0" applyBorder="1"/>
    <xf numFmtId="0" fontId="8" fillId="0" borderId="12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right" vertical="center"/>
    </xf>
    <xf numFmtId="2" fontId="10" fillId="0" borderId="7" xfId="0" applyNumberFormat="1" applyFont="1" applyBorder="1" applyAlignment="1">
      <alignment horizontal="right" vertical="center"/>
    </xf>
    <xf numFmtId="0" fontId="11" fillId="0" borderId="4" xfId="0" applyFont="1" applyBorder="1"/>
    <xf numFmtId="0" fontId="9" fillId="0" borderId="1" xfId="0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center" vertical="center"/>
    </xf>
    <xf numFmtId="0" fontId="11" fillId="0" borderId="0" xfId="0" applyFont="1"/>
    <xf numFmtId="2" fontId="9" fillId="0" borderId="12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9" xfId="0" applyFont="1" applyBorder="1"/>
    <xf numFmtId="0" fontId="11" fillId="4" borderId="2" xfId="0" applyFont="1" applyFill="1" applyBorder="1"/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4" xfId="0" applyFont="1" applyFill="1" applyBorder="1"/>
    <xf numFmtId="0" fontId="12" fillId="4" borderId="3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12" fillId="4" borderId="13" xfId="0" applyFont="1" applyFill="1" applyBorder="1"/>
    <xf numFmtId="0" fontId="12" fillId="4" borderId="13" xfId="0" applyFont="1" applyFill="1" applyBorder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/>
    <xf numFmtId="0" fontId="10" fillId="0" borderId="3" xfId="0" applyFont="1" applyBorder="1" applyAlignment="1">
      <alignment vertical="center" wrapText="1"/>
    </xf>
    <xf numFmtId="0" fontId="11" fillId="0" borderId="13" xfId="0" applyFont="1" applyBorder="1"/>
    <xf numFmtId="4" fontId="10" fillId="0" borderId="9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1" fillId="0" borderId="3" xfId="0" applyFont="1" applyBorder="1"/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3" fillId="0" borderId="9" xfId="0" applyFont="1" applyBorder="1"/>
    <xf numFmtId="4" fontId="10" fillId="0" borderId="7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1" fillId="4" borderId="13" xfId="0" applyFont="1" applyFill="1" applyBorder="1"/>
    <xf numFmtId="0" fontId="12" fillId="4" borderId="7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1" fillId="4" borderId="7" xfId="0" applyFont="1" applyFill="1" applyBorder="1"/>
    <xf numFmtId="0" fontId="11" fillId="4" borderId="4" xfId="0" applyFont="1" applyFill="1" applyBorder="1"/>
    <xf numFmtId="0" fontId="12" fillId="4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12" xfId="0" applyBorder="1"/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16" fillId="0" borderId="5" xfId="0" applyFont="1" applyBorder="1"/>
    <xf numFmtId="0" fontId="16" fillId="0" borderId="0" xfId="0" applyFont="1"/>
    <xf numFmtId="0" fontId="16" fillId="0" borderId="11" xfId="0" applyFont="1" applyBorder="1"/>
    <xf numFmtId="0" fontId="16" fillId="0" borderId="10" xfId="0" applyFont="1" applyBorder="1"/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18" fillId="0" borderId="8" xfId="0" applyFont="1" applyBorder="1"/>
    <xf numFmtId="0" fontId="18" fillId="0" borderId="9" xfId="0" applyFont="1" applyBorder="1"/>
    <xf numFmtId="4" fontId="20" fillId="0" borderId="2" xfId="0" applyNumberFormat="1" applyFont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2" fontId="10" fillId="3" borderId="2" xfId="0" applyNumberFormat="1" applyFont="1" applyFill="1" applyBorder="1" applyAlignment="1">
      <alignment horizontal="right" vertical="center"/>
    </xf>
    <xf numFmtId="2" fontId="10" fillId="3" borderId="7" xfId="0" applyNumberFormat="1" applyFont="1" applyFill="1" applyBorder="1" applyAlignment="1">
      <alignment horizontal="right" vertical="center"/>
    </xf>
    <xf numFmtId="1" fontId="10" fillId="3" borderId="9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vertical="center" wrapText="1"/>
    </xf>
    <xf numFmtId="0" fontId="11" fillId="3" borderId="0" xfId="0" applyFont="1" applyFill="1"/>
    <xf numFmtId="0" fontId="9" fillId="3" borderId="1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 wrapText="1"/>
    </xf>
    <xf numFmtId="0" fontId="11" fillId="3" borderId="8" xfId="0" applyFont="1" applyFill="1" applyBorder="1"/>
    <xf numFmtId="0" fontId="11" fillId="3" borderId="9" xfId="0" applyFont="1" applyFill="1" applyBorder="1"/>
    <xf numFmtId="0" fontId="10" fillId="3" borderId="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5" fillId="4" borderId="2" xfId="0" applyFont="1" applyFill="1" applyBorder="1"/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right" vertical="center"/>
    </xf>
    <xf numFmtId="0" fontId="18" fillId="3" borderId="2" xfId="0" applyFont="1" applyFill="1" applyBorder="1"/>
    <xf numFmtId="0" fontId="21" fillId="3" borderId="2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 applyAlignment="1">
      <alignment horizontal="right"/>
    </xf>
    <xf numFmtId="4" fontId="21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/>
    </xf>
    <xf numFmtId="0" fontId="18" fillId="3" borderId="8" xfId="0" applyFont="1" applyFill="1" applyBorder="1"/>
    <xf numFmtId="0" fontId="18" fillId="3" borderId="9" xfId="0" applyFont="1" applyFill="1" applyBorder="1"/>
    <xf numFmtId="2" fontId="20" fillId="3" borderId="2" xfId="0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3" fillId="3" borderId="9" xfId="0" applyFont="1" applyFill="1" applyBorder="1"/>
    <xf numFmtId="0" fontId="9" fillId="3" borderId="9" xfId="0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right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 wrapText="1"/>
    </xf>
    <xf numFmtId="2" fontId="10" fillId="6" borderId="2" xfId="0" applyNumberFormat="1" applyFont="1" applyFill="1" applyBorder="1" applyAlignment="1">
      <alignment horizontal="right" vertical="center"/>
    </xf>
    <xf numFmtId="2" fontId="9" fillId="3" borderId="1" xfId="0" applyNumberFormat="1" applyFont="1" applyFill="1" applyBorder="1" applyAlignment="1">
      <alignment vertical="center"/>
    </xf>
    <xf numFmtId="2" fontId="9" fillId="3" borderId="4" xfId="0" applyNumberFormat="1" applyFont="1" applyFill="1" applyBorder="1" applyAlignment="1">
      <alignment vertical="center"/>
    </xf>
    <xf numFmtId="2" fontId="9" fillId="3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0" fontId="11" fillId="3" borderId="4" xfId="0" applyFont="1" applyFill="1" applyBorder="1"/>
    <xf numFmtId="4" fontId="9" fillId="3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 wrapText="1"/>
    </xf>
    <xf numFmtId="4" fontId="10" fillId="3" borderId="7" xfId="0" applyNumberFormat="1" applyFont="1" applyFill="1" applyBorder="1" applyAlignment="1">
      <alignment horizontal="right" vertical="center"/>
    </xf>
    <xf numFmtId="2" fontId="10" fillId="3" borderId="3" xfId="0" applyNumberFormat="1" applyFont="1" applyFill="1" applyBorder="1" applyAlignment="1">
      <alignment horizontal="right" vertical="center"/>
    </xf>
    <xf numFmtId="0" fontId="9" fillId="6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4" fillId="0" borderId="15" xfId="0" applyFont="1" applyBorder="1"/>
    <xf numFmtId="0" fontId="24" fillId="0" borderId="16" xfId="0" applyFont="1" applyBorder="1"/>
    <xf numFmtId="0" fontId="24" fillId="0" borderId="16" xfId="0" applyFont="1" applyBorder="1" applyAlignment="1">
      <alignment horizontal="center"/>
    </xf>
    <xf numFmtId="4" fontId="24" fillId="0" borderId="16" xfId="0" applyNumberFormat="1" applyFont="1" applyBorder="1" applyAlignment="1">
      <alignment horizontal="center"/>
    </xf>
    <xf numFmtId="44" fontId="24" fillId="0" borderId="16" xfId="0" applyNumberFormat="1" applyFont="1" applyBorder="1"/>
    <xf numFmtId="0" fontId="12" fillId="7" borderId="3" xfId="0" applyFont="1" applyFill="1" applyBorder="1"/>
    <xf numFmtId="0" fontId="14" fillId="7" borderId="13" xfId="0" applyFont="1" applyFill="1" applyBorder="1" applyAlignment="1">
      <alignment horizontal="center"/>
    </xf>
    <xf numFmtId="0" fontId="12" fillId="7" borderId="13" xfId="0" applyFont="1" applyFill="1" applyBorder="1"/>
    <xf numFmtId="0" fontId="12" fillId="7" borderId="4" xfId="0" applyFont="1" applyFill="1" applyBorder="1"/>
    <xf numFmtId="0" fontId="18" fillId="7" borderId="2" xfId="0" applyFont="1" applyFill="1" applyBorder="1"/>
    <xf numFmtId="0" fontId="19" fillId="7" borderId="13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1" fillId="7" borderId="4" xfId="0" applyFont="1" applyFill="1" applyBorder="1"/>
    <xf numFmtId="0" fontId="14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4" fontId="23" fillId="0" borderId="2" xfId="0" applyNumberFormat="1" applyFont="1" applyBorder="1" applyAlignment="1">
      <alignment horizontal="right"/>
    </xf>
    <xf numFmtId="2" fontId="23" fillId="0" borderId="2" xfId="0" applyNumberFormat="1" applyFont="1" applyBorder="1"/>
    <xf numFmtId="0" fontId="24" fillId="0" borderId="7" xfId="0" applyFont="1" applyBorder="1"/>
    <xf numFmtId="0" fontId="24" fillId="0" borderId="8" xfId="0" applyFont="1" applyBorder="1"/>
    <xf numFmtId="0" fontId="24" fillId="0" borderId="8" xfId="0" applyFont="1" applyBorder="1" applyAlignment="1">
      <alignment horizontal="center"/>
    </xf>
    <xf numFmtId="4" fontId="24" fillId="0" borderId="8" xfId="0" applyNumberFormat="1" applyFont="1" applyBorder="1" applyAlignment="1">
      <alignment horizontal="center"/>
    </xf>
    <xf numFmtId="2" fontId="24" fillId="0" borderId="8" xfId="0" applyNumberFormat="1" applyFont="1" applyBorder="1"/>
    <xf numFmtId="2" fontId="24" fillId="0" borderId="9" xfId="0" applyNumberFormat="1" applyFont="1" applyBorder="1" applyAlignment="1">
      <alignment horizontal="right"/>
    </xf>
    <xf numFmtId="2" fontId="24" fillId="0" borderId="9" xfId="0" applyNumberFormat="1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4" fontId="24" fillId="0" borderId="2" xfId="0" applyNumberFormat="1" applyFont="1" applyBorder="1" applyAlignment="1">
      <alignment horizontal="center"/>
    </xf>
    <xf numFmtId="2" fontId="24" fillId="0" borderId="2" xfId="0" applyNumberFormat="1" applyFont="1" applyBorder="1"/>
    <xf numFmtId="2" fontId="24" fillId="0" borderId="2" xfId="0" applyNumberFormat="1" applyFont="1" applyBorder="1" applyAlignment="1">
      <alignment horizontal="right"/>
    </xf>
    <xf numFmtId="10" fontId="23" fillId="0" borderId="2" xfId="2" applyNumberFormat="1" applyFont="1" applyFill="1" applyBorder="1" applyAlignment="1">
      <alignment horizontal="center"/>
    </xf>
    <xf numFmtId="4" fontId="10" fillId="0" borderId="7" xfId="0" applyNumberFormat="1" applyFont="1" applyBorder="1" applyAlignment="1">
      <alignment horizontal="center" vertical="center"/>
    </xf>
    <xf numFmtId="2" fontId="23" fillId="0" borderId="7" xfId="0" applyNumberFormat="1" applyFont="1" applyBorder="1"/>
    <xf numFmtId="0" fontId="23" fillId="0" borderId="7" xfId="0" applyFont="1" applyBorder="1"/>
    <xf numFmtId="0" fontId="23" fillId="0" borderId="8" xfId="0" applyFont="1" applyBorder="1"/>
    <xf numFmtId="0" fontId="10" fillId="3" borderId="1" xfId="0" applyFont="1" applyFill="1" applyBorder="1" applyAlignment="1">
      <alignment vertical="center" wrapText="1"/>
    </xf>
    <xf numFmtId="2" fontId="10" fillId="3" borderId="1" xfId="0" applyNumberFormat="1" applyFont="1" applyFill="1" applyBorder="1" applyAlignment="1">
      <alignment horizontal="right" vertical="center"/>
    </xf>
    <xf numFmtId="2" fontId="10" fillId="3" borderId="4" xfId="0" applyNumberFormat="1" applyFont="1" applyFill="1" applyBorder="1" applyAlignment="1">
      <alignment horizontal="right" vertical="center"/>
    </xf>
    <xf numFmtId="4" fontId="21" fillId="3" borderId="2" xfId="0" applyNumberFormat="1" applyFont="1" applyFill="1" applyBorder="1" applyAlignment="1">
      <alignment horizontal="right" vertical="center"/>
    </xf>
    <xf numFmtId="0" fontId="25" fillId="3" borderId="7" xfId="0" applyFont="1" applyFill="1" applyBorder="1" applyAlignment="1">
      <alignment horizontal="left" vertical="center"/>
    </xf>
    <xf numFmtId="43" fontId="0" fillId="0" borderId="0" xfId="1" applyFont="1"/>
    <xf numFmtId="2" fontId="0" fillId="0" borderId="0" xfId="0" applyNumberFormat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0" fillId="0" borderId="2" xfId="0" applyBorder="1"/>
    <xf numFmtId="0" fontId="11" fillId="0" borderId="11" xfId="0" applyFont="1" applyBorder="1"/>
    <xf numFmtId="0" fontId="9" fillId="0" borderId="9" xfId="0" applyFont="1" applyBorder="1" applyAlignment="1">
      <alignment horizontal="right" vertical="center"/>
    </xf>
    <xf numFmtId="43" fontId="23" fillId="0" borderId="2" xfId="1" applyFont="1" applyBorder="1"/>
    <xf numFmtId="43" fontId="24" fillId="0" borderId="9" xfId="1" applyFont="1" applyBorder="1"/>
    <xf numFmtId="43" fontId="23" fillId="0" borderId="2" xfId="1" applyFont="1" applyBorder="1" applyAlignment="1">
      <alignment horizontal="right"/>
    </xf>
    <xf numFmtId="43" fontId="23" fillId="0" borderId="7" xfId="1" applyFont="1" applyBorder="1"/>
    <xf numFmtId="43" fontId="24" fillId="0" borderId="16" xfId="1" applyFont="1" applyBorder="1" applyAlignment="1">
      <alignment horizontal="center"/>
    </xf>
    <xf numFmtId="43" fontId="24" fillId="0" borderId="16" xfId="1" applyFont="1" applyBorder="1"/>
    <xf numFmtId="0" fontId="26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2" xfId="0" applyFont="1" applyBorder="1" applyAlignment="1">
      <alignment horizontal="justify" vertical="center" wrapText="1"/>
    </xf>
    <xf numFmtId="43" fontId="27" fillId="0" borderId="0" xfId="0" applyNumberFormat="1" applyFont="1" applyAlignment="1">
      <alignment wrapText="1"/>
    </xf>
    <xf numFmtId="0" fontId="30" fillId="0" borderId="0" xfId="0" applyFont="1" applyAlignment="1">
      <alignment horizontal="center" wrapText="1"/>
    </xf>
    <xf numFmtId="0" fontId="31" fillId="0" borderId="0" xfId="0" applyFont="1"/>
    <xf numFmtId="0" fontId="33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4" fillId="0" borderId="7" xfId="0" applyFont="1" applyBorder="1" applyAlignment="1">
      <alignment horizontal="center" vertical="top"/>
    </xf>
    <xf numFmtId="0" fontId="33" fillId="0" borderId="14" xfId="0" applyFont="1" applyBorder="1" applyAlignment="1">
      <alignment wrapText="1"/>
    </xf>
    <xf numFmtId="0" fontId="33" fillId="0" borderId="7" xfId="0" applyFont="1" applyBorder="1" applyAlignment="1">
      <alignment horizontal="right"/>
    </xf>
    <xf numFmtId="43" fontId="32" fillId="0" borderId="2" xfId="1" applyFont="1" applyBorder="1"/>
    <xf numFmtId="0" fontId="28" fillId="0" borderId="2" xfId="0" applyFont="1" applyBorder="1" applyAlignment="1">
      <alignment horizontal="justify" vertical="top" wrapText="1"/>
    </xf>
    <xf numFmtId="0" fontId="34" fillId="0" borderId="9" xfId="0" applyFont="1" applyBorder="1" applyAlignment="1">
      <alignment horizontal="center" vertical="top"/>
    </xf>
    <xf numFmtId="43" fontId="34" fillId="0" borderId="2" xfId="1" applyFont="1" applyBorder="1" applyAlignment="1">
      <alignment horizontal="right" vertical="top"/>
    </xf>
    <xf numFmtId="43" fontId="34" fillId="0" borderId="7" xfId="1" applyFont="1" applyBorder="1" applyAlignment="1">
      <alignment vertical="top"/>
    </xf>
    <xf numFmtId="43" fontId="28" fillId="0" borderId="2" xfId="1" applyFont="1" applyBorder="1" applyAlignment="1">
      <alignment vertical="top"/>
    </xf>
    <xf numFmtId="43" fontId="28" fillId="0" borderId="0" xfId="1" applyFont="1" applyAlignment="1">
      <alignment vertical="top"/>
    </xf>
    <xf numFmtId="0" fontId="35" fillId="4" borderId="2" xfId="0" applyFont="1" applyFill="1" applyBorder="1" applyAlignment="1">
      <alignment horizontal="center" vertical="center" wrapText="1"/>
    </xf>
    <xf numFmtId="43" fontId="35" fillId="4" borderId="2" xfId="1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top"/>
    </xf>
    <xf numFmtId="0" fontId="29" fillId="0" borderId="9" xfId="0" applyFont="1" applyBorder="1" applyAlignment="1">
      <alignment horizontal="center"/>
    </xf>
    <xf numFmtId="43" fontId="29" fillId="0" borderId="2" xfId="1" applyFont="1" applyBorder="1"/>
    <xf numFmtId="43" fontId="31" fillId="0" borderId="0" xfId="0" applyNumberFormat="1" applyFont="1"/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wrapText="1"/>
    </xf>
    <xf numFmtId="43" fontId="35" fillId="0" borderId="2" xfId="1" applyFont="1" applyBorder="1"/>
    <xf numFmtId="0" fontId="28" fillId="0" borderId="0" xfId="0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28" fillId="0" borderId="0" xfId="0" applyFont="1" applyAlignment="1">
      <alignment horizontal="justify" wrapText="1"/>
    </xf>
    <xf numFmtId="0" fontId="29" fillId="0" borderId="0" xfId="0" applyFont="1" applyAlignment="1">
      <alignment horizontal="left" vertical="justify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16" fillId="0" borderId="3" xfId="0" applyFont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right"/>
    </xf>
    <xf numFmtId="0" fontId="5" fillId="0" borderId="8" xfId="3" applyFont="1" applyBorder="1" applyAlignment="1">
      <alignment horizontal="right"/>
    </xf>
    <xf numFmtId="0" fontId="5" fillId="0" borderId="9" xfId="3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</cellXfs>
  <cellStyles count="5">
    <cellStyle name="Normal" xfId="0" builtinId="0"/>
    <cellStyle name="Normal 2 3" xfId="3" xr:uid="{0F2D3789-82B2-42EC-84D9-92E1A48FCC5B}"/>
    <cellStyle name="Porcentagem" xfId="2" builtinId="5"/>
    <cellStyle name="Vírgula" xfId="1" builtinId="3"/>
    <cellStyle name="Vírgula 2" xfId="4" xr:uid="{9714C2C9-D274-4AAB-AEE0-36A5263B70F5}"/>
  </cellStyles>
  <dxfs count="193"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166" formatCode="#,000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166" formatCode="#,000"/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166" formatCode="#,000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166" formatCode="#,000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2066925</xdr:colOff>
      <xdr:row>2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A6F87D-71EB-4B69-9F42-5E803853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30493" r="13147" b="2890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1952625</xdr:colOff>
      <xdr:row>3</xdr:row>
      <xdr:rowOff>95249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8D10EC-3BB4-407B-8A3A-6A0E8B6C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30493" r="13147" b="28906"/>
        <a:stretch>
          <a:fillRect/>
        </a:stretch>
      </xdr:blipFill>
      <xdr:spPr bwMode="auto">
        <a:xfrm>
          <a:off x="1" y="0"/>
          <a:ext cx="2371724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13</xdr:row>
      <xdr:rowOff>146808</xdr:rowOff>
    </xdr:from>
    <xdr:to>
      <xdr:col>3</xdr:col>
      <xdr:colOff>1866901</xdr:colOff>
      <xdr:row>21</xdr:row>
      <xdr:rowOff>180252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DEFB0-593E-46F3-AAE6-5CAA4820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2973828"/>
          <a:ext cx="5212080" cy="13777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13</xdr:row>
      <xdr:rowOff>146808</xdr:rowOff>
    </xdr:from>
    <xdr:to>
      <xdr:col>3</xdr:col>
      <xdr:colOff>1866901</xdr:colOff>
      <xdr:row>21</xdr:row>
      <xdr:rowOff>180252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E2CE75-45C2-480C-AC08-8D0DAEA9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2899533"/>
          <a:ext cx="5114925" cy="1328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Engeluga\DOCUME~1\ADMINI~1\CONFIG~1\Temp\Rar$DI11.110\DOCUME~1\RAPHAE~1.POR\CONFIG~1\Temp\Rar$DI00.610\Acabamentos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\ENGELUGA%20-%20Copia\_GDRIVE\ENGELUGA%20-%20Copia\ENGELUGA\Clientes\Bandeirantes\2021\LIMPEZA%20URBANA\CALCULO%20-%20C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\ENGELUGA%20-%20Copia\_GDRIVE\ENGELUGA%20-%20Copia\ENGELUGA\Clientes\Bandeirantes\2021\LIMPEZA%20URBANA%20-%20EMERGENCIAL\CALCULO%20EMERGEN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sheet1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B7" t="str">
            <v>DESCRICAO DO INSUMO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varrição"/>
      <sheetName val="caiação"/>
      <sheetName val="coleta"/>
      <sheetName val="roçada"/>
      <sheetName val="poda"/>
      <sheetName val="BDI DESONER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3">
          <cell r="C43" t="str">
            <v>UND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coleta"/>
      <sheetName val="varrição"/>
      <sheetName val="caiação"/>
      <sheetName val="poda"/>
      <sheetName val="roçada"/>
      <sheetName val="BDI DESONERADO"/>
      <sheetName val="Planilha1"/>
      <sheetName val="CALCULO EMERGENCIAL"/>
    </sheetNames>
    <sheetDataSet>
      <sheetData sheetId="0" refreshError="1"/>
      <sheetData sheetId="1" refreshError="1">
        <row r="22">
          <cell r="D22">
            <v>70</v>
          </cell>
        </row>
      </sheetData>
      <sheetData sheetId="2" refreshError="1">
        <row r="24">
          <cell r="D24">
            <v>26.9</v>
          </cell>
        </row>
        <row r="26">
          <cell r="D26">
            <v>54.9</v>
          </cell>
        </row>
        <row r="27">
          <cell r="D27">
            <v>49.9</v>
          </cell>
        </row>
        <row r="28">
          <cell r="D28">
            <v>57.61</v>
          </cell>
        </row>
      </sheetData>
      <sheetData sheetId="3" refreshError="1">
        <row r="14">
          <cell r="D14">
            <v>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D1A110-264E-4EF4-8A4B-546F9E7CB6A4}" name="Tabela8" displayName="Tabela8" ref="A1:E14" totalsRowShown="0" headerRowDxfId="192" dataDxfId="190" headerRowBorderDxfId="191" tableBorderDxfId="189" totalsRowBorderDxfId="188">
  <tableColumns count="5">
    <tableColumn id="1" xr3:uid="{30D62869-F26E-4400-B4BA-B8C620604AC1}" name="EPIs" dataDxfId="187"/>
    <tableColumn id="2" xr3:uid="{85686217-955F-4C08-BDFB-F1A889AC58E6}" name="Coluna1" dataDxfId="186"/>
    <tableColumn id="3" xr3:uid="{39BE328C-187C-4710-AAC9-B4DC87707C98}" name="Coluna2" dataDxfId="185"/>
    <tableColumn id="4" xr3:uid="{7BB92F57-0287-4275-AA44-82F6229E0A83}" name="Coluna3" dataDxfId="184"/>
    <tableColumn id="5" xr3:uid="{24727E3F-394C-4683-947D-85F67B825D9C}" name="Coluna4" dataDxfId="183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0DBDF59-005D-469E-A361-FF40B0BC50A8}" name="Tabela12182328" displayName="Tabela12182328" ref="A40:D43" totalsRowShown="0" headerRowDxfId="101" dataDxfId="99" headerRowBorderDxfId="100" tableBorderDxfId="98" totalsRowBorderDxfId="97">
  <tableColumns count="4">
    <tableColumn id="1" xr3:uid="{FA865F46-7898-49E0-96C0-620AD15AE56E}" name="ITEM " dataDxfId="96"/>
    <tableColumn id="2" xr3:uid="{A473C0CC-9FB8-41A7-B4D7-572F8CC86FD1}" name="DESCRIÇÃO" dataDxfId="95"/>
    <tableColumn id="3" xr3:uid="{93759A34-EDD9-40D0-AA01-EAEEEEB5D138}" name="UNIDADE" dataDxfId="94"/>
    <tableColumn id="4" xr3:uid="{D8662F54-CCE5-4D07-8C68-712E77E5E0A1}" name="V. UNITÁRIO" dataDxfId="93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6B9C21-BFEC-4F2A-A2DD-53A9385D96EA}" name="Tabela81419242" displayName="Tabela81419242" ref="A1:E15" totalsRowShown="0" headerRowDxfId="92" dataDxfId="90" headerRowBorderDxfId="91" tableBorderDxfId="89" totalsRowBorderDxfId="88">
  <autoFilter ref="A1:E15" xr:uid="{C0F81896-A20A-4C78-BAB3-C8B195EA72D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B495971-4F46-4263-B1A7-022DBBA92E17}" name="Coluna1" dataDxfId="87"/>
    <tableColumn id="2" xr3:uid="{FB94E32E-F1A5-49C7-B73E-1481507B3BFF}" name="MÃO DE OBRA" dataDxfId="86"/>
    <tableColumn id="3" xr3:uid="{7ED3FCD6-4489-4F11-B089-ADDD4D4AB1AA}" name="Coluna2" dataDxfId="85"/>
    <tableColumn id="4" xr3:uid="{C6966C39-066D-4AE2-87B1-845E98B62195}" name="Coluna3" dataDxfId="84"/>
    <tableColumn id="5" xr3:uid="{971C8670-D03D-4C4D-BCBD-86776ADD4BED}" name="Coluna4" dataDxfId="83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57882B3-DF94-47C5-9E0F-7998490D588E}" name="Tabela915202513" displayName="Tabela915202513" ref="A16:E24" totalsRowShown="0" headerRowDxfId="82" dataDxfId="80" headerRowBorderDxfId="81" tableBorderDxfId="79" totalsRowBorderDxfId="78">
  <tableColumns count="5">
    <tableColumn id="1" xr3:uid="{0BB9BB06-A0B3-4C95-94D1-37B51E0289EE}" name="ITEM " dataDxfId="77"/>
    <tableColumn id="2" xr3:uid="{0FCF12CB-7D05-4650-9C5A-A8C483BC0370}" name="DESCRIÇÃO" dataDxfId="76"/>
    <tableColumn id="3" xr3:uid="{437F4151-EEA0-415A-899D-2750E9C6BABA}" name="QUANT." dataDxfId="75"/>
    <tableColumn id="4" xr3:uid="{6B4D9044-857C-4AAD-A58F-E17CE8EDC40B}" name="V. UNITÁRIO" dataDxfId="74"/>
    <tableColumn id="5" xr3:uid="{DC650E5B-EC10-429B-BB9D-750236577788}" name="V. TOTAL" dataDxfId="73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0A455A-6078-47EE-9693-DEC3E6995129}" name="Tabela1016212614" displayName="Tabela1016212614" ref="A25:E31" totalsRowShown="0" headerRowDxfId="72" dataDxfId="70" headerRowBorderDxfId="71" tableBorderDxfId="69" totalsRowBorderDxfId="68">
  <tableColumns count="5">
    <tableColumn id="1" xr3:uid="{2D0174FA-A38C-4E5F-A931-C820F3BB3B75}" name="ITEM " dataDxfId="67"/>
    <tableColumn id="2" xr3:uid="{3C407694-3340-4A00-8BBD-20C8DD639E35}" name="DESCRIÇÃO" dataDxfId="66"/>
    <tableColumn id="3" xr3:uid="{8A4196DC-F98E-404D-A74B-8B3BBB6BBDA1}" name="QUANT." dataDxfId="65"/>
    <tableColumn id="4" xr3:uid="{0156D52F-3AAB-428F-AFE8-E4BD280CF6D6}" name="V. UNITÁRIO" dataDxfId="64"/>
    <tableColumn id="5" xr3:uid="{18038567-4B8B-4D86-A4CF-E2CADC022461}" name="V. TOTAL" dataDxfId="63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F0CE912-7531-4550-8EE6-79D8748A7168}" name="Tabela1117222715" displayName="Tabela1117222715" ref="A32:C37" totalsRowShown="0" headerRowDxfId="62" dataDxfId="60" headerRowBorderDxfId="61" tableBorderDxfId="59" totalsRowBorderDxfId="58">
  <tableColumns count="3">
    <tableColumn id="1" xr3:uid="{933D08CA-C7D8-49FB-BF3F-C9713DFABAAB}" name="ITEM " dataDxfId="57"/>
    <tableColumn id="2" xr3:uid="{D9F71E9C-3C6F-4CF0-BF9C-82332F884B43}" name="DESCRIÇÃO" dataDxfId="56"/>
    <tableColumn id="5" xr3:uid="{63169459-A96B-4316-9423-F707BF4F64B4}" name="V. TOTAL" dataDxfId="55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012156C-D0CC-4234-B310-4C76D2367C81}" name="Tabela1218232816" displayName="Tabela1218232816" ref="A38:D41" totalsRowShown="0" headerRowDxfId="54" dataDxfId="52" headerRowBorderDxfId="53" tableBorderDxfId="51" totalsRowBorderDxfId="50">
  <tableColumns count="4">
    <tableColumn id="1" xr3:uid="{63D6EB39-7079-407D-BF44-5417867B88ED}" name="ITEM " dataDxfId="49"/>
    <tableColumn id="2" xr3:uid="{59945677-A7B8-44DA-9280-02A105F9D87C}" name="DESCRIÇÃO" dataDxfId="48"/>
    <tableColumn id="3" xr3:uid="{23163E7D-3771-4245-937B-A9D938995BBC}" name="UNIDADE" dataDxfId="47"/>
    <tableColumn id="4" xr3:uid="{5B7785F5-D2F5-41FE-93FF-2738FD64CB16}" name="V. UNITÁRIO" dataDxfId="46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D1579E-A308-4431-AF57-F4C03227F97A}" name="Tabela1117222711" displayName="Tabela1117222711" ref="A40:C43" totalsRowShown="0" headerRowDxfId="45" dataDxfId="43" headerRowBorderDxfId="44" tableBorderDxfId="42" totalsRowBorderDxfId="41">
  <tableColumns count="3">
    <tableColumn id="1" xr3:uid="{921F3D91-FC28-4C25-8343-3790F6DD81FE}" name="ITEM " dataDxfId="40"/>
    <tableColumn id="2" xr3:uid="{8327E5EE-5F1F-46B8-BA1D-B5406562E8FD}" name="DESCRIÇÃO" dataDxfId="39"/>
    <tableColumn id="5" xr3:uid="{EAED6F25-0322-41E2-99C4-4CED72C69B46}" name="UNIDADE" dataDxfId="38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26B138-4AF8-446F-A3C3-81D3EFC21EC9}" name="Tabela8141913" displayName="Tabela8141913" ref="A1:E13" totalsRowShown="0" headerRowDxfId="37" dataDxfId="35" headerRowBorderDxfId="36" tableBorderDxfId="34" totalsRowBorderDxfId="33">
  <tableColumns count="5">
    <tableColumn id="1" xr3:uid="{46EAC77C-2739-4363-A146-5C2758BC3487}" name="Coluna1" dataDxfId="32"/>
    <tableColumn id="2" xr3:uid="{35211CD8-F32C-47A4-AE03-3CA4B0856F48}" name="Coluna2" dataDxfId="31"/>
    <tableColumn id="3" xr3:uid="{F4378269-8B06-45D2-AC2F-B321982D97F8}" name="Coluna3" dataDxfId="30"/>
    <tableColumn id="4" xr3:uid="{70EAE1F7-C8B9-4F74-9F58-837F85330EFF}" name="Coluna4" dataDxfId="29"/>
    <tableColumn id="5" xr3:uid="{E26D4DAD-9E7F-45E5-B627-68465C4CD70E}" name="Coluna5" dataDxfId="28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4DA29C-F648-4E47-B4C9-65331EB2D699}" name="Tabela9152014" displayName="Tabela9152014" ref="A16:E24" totalsRowShown="0" headerRowDxfId="27" dataDxfId="25" headerRowBorderDxfId="26" tableBorderDxfId="24" totalsRowBorderDxfId="23">
  <tableColumns count="5">
    <tableColumn id="1" xr3:uid="{2868699D-A76F-43F3-94E5-B19E9058DD46}" name="ITEM " dataDxfId="22"/>
    <tableColumn id="2" xr3:uid="{D8DBF33A-6892-411D-90D8-DF8F8BFFB28D}" name="DESCRIÇÃO" dataDxfId="21"/>
    <tableColumn id="3" xr3:uid="{0F7A12A1-636A-492F-9C66-B3F3B5A7466C}" name="QUANT." dataDxfId="20"/>
    <tableColumn id="4" xr3:uid="{F0DAD52E-5A7D-471B-ACAB-5CA59A55CA8E}" name="V. UNITÁRIO" dataDxfId="19"/>
    <tableColumn id="5" xr3:uid="{91A5ECE0-0507-4110-9B3C-FC59B3F4BA2A}" name="V. TOTAL" dataDxfId="18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F31E1C-5E5E-4F35-8C92-ACE56A8DB395}" name="Tabela10162125" displayName="Tabela10162125" ref="A25:E33" totalsRowShown="0" headerRowDxfId="17" dataDxfId="15" headerRowBorderDxfId="16" tableBorderDxfId="14" totalsRowBorderDxfId="13">
  <tableColumns count="5">
    <tableColumn id="1" xr3:uid="{174E4E5F-9BAD-405E-9AF6-1A3D67D4046F}" name="ITEM " dataDxfId="12"/>
    <tableColumn id="2" xr3:uid="{C581AC1D-AD1B-4D1B-A594-03E1A390835C}" name="DESCRIÇÃO" dataDxfId="11"/>
    <tableColumn id="3" xr3:uid="{D3F9D78C-7053-46AA-9F8C-863D083810E7}" name="QUANT." dataDxfId="10"/>
    <tableColumn id="4" xr3:uid="{91C754F9-8831-4803-AED2-774B7C2FFC77}" name="V. UNITÁRIO" dataDxfId="9"/>
    <tableColumn id="5" xr3:uid="{8C3DE02C-B308-4191-A135-7B9566EDC8B9}" name="V. TOTAL" dataDxfId="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ED7A4-E561-43CF-855D-675463937DA1}" name="Tabela9" displayName="Tabela9" ref="A15:E24" totalsRowShown="0" headerRowDxfId="182" dataDxfId="180" headerRowBorderDxfId="181" tableBorderDxfId="179" totalsRowBorderDxfId="178">
  <tableColumns count="5">
    <tableColumn id="1" xr3:uid="{D98F5AA9-125F-4670-867F-2094592C19BB}" name="ITEM " dataDxfId="177"/>
    <tableColumn id="2" xr3:uid="{172A3EFD-ECFA-4FB4-930D-2972DCDA075E}" name="DESCRIÇÃO" dataDxfId="176"/>
    <tableColumn id="3" xr3:uid="{F0513B13-9076-4C0B-90C7-77E0C64F6861}" name="QUANTIDADE " dataDxfId="175"/>
    <tableColumn id="4" xr3:uid="{C38DEFB6-8D40-489C-98E9-CC8FF5568473}" name="V. UNITÁRIO" dataDxfId="174"/>
    <tableColumn id="5" xr3:uid="{83CCFAEC-3729-47D7-8FD7-A98B6A04FA34}" name="V. TOTAL" dataDxfId="173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E4DE8F-C6A9-463F-BB20-73DCB8C8E956}" name="Tabela11172226" displayName="Tabela11172226" ref="A34:C38" totalsRowShown="0" headerRowDxfId="7" dataDxfId="5" headerRowBorderDxfId="6" tableBorderDxfId="4" totalsRowBorderDxfId="3">
  <tableColumns count="3">
    <tableColumn id="1" xr3:uid="{65182274-1FDA-4299-83CC-11F5C34AE0CB}" name="ITEM " dataDxfId="2"/>
    <tableColumn id="2" xr3:uid="{6784534C-777A-48F1-B628-F7DBF4B52221}" name="DESCRIÇÃO" dataDxfId="1"/>
    <tableColumn id="5" xr3:uid="{59FB93A8-981F-4D08-9F6C-77BBA0F259B6}" name="V. TOTAL" dataDxfId="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087EB91-A6A6-4F6A-8218-E055CD0A7B4A}" name="Tabela10" displayName="Tabela10" ref="A25:E34" totalsRowShown="0" headerRowDxfId="172" dataDxfId="170" headerRowBorderDxfId="171" tableBorderDxfId="169" totalsRowBorderDxfId="168">
  <tableColumns count="5">
    <tableColumn id="1" xr3:uid="{9F20B6AE-BD89-44C3-B3DC-3846C28F23C4}" name="ITEM " dataDxfId="167"/>
    <tableColumn id="2" xr3:uid="{0B22ACD7-64A7-4A3E-A038-D9C65144DEF6}" name="DESCRIÇÃO" dataDxfId="166"/>
    <tableColumn id="3" xr3:uid="{C4E3754B-CC8F-4B8A-BC84-FAE4B1E788B7}" name="QUANTIDADE " dataDxfId="165"/>
    <tableColumn id="4" xr3:uid="{3F4AD307-5388-458A-B8A7-E2772D0C498A}" name="V. UNITÁRIO" dataDxfId="164"/>
    <tableColumn id="5" xr3:uid="{D54B8227-FFBA-41F8-8C8E-57D0464A9045}" name="V. TOTAL" dataDxfId="16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CD487F-49E2-47B0-9BC6-E8170A5D315C}" name="Tabela11" displayName="Tabela11" ref="A35:D39" headerRowCount="0" totalsRowShown="0" headerRowDxfId="162" dataDxfId="160" headerRowBorderDxfId="161" tableBorderDxfId="159" totalsRowBorderDxfId="158">
  <tableColumns count="4">
    <tableColumn id="1" xr3:uid="{D202C1C1-ADBF-4C6B-B220-0B1665695B1D}" name="ITEM " headerRowDxfId="157" dataDxfId="156"/>
    <tableColumn id="2" xr3:uid="{FB7982ED-710C-4D92-AC8E-DD5B70DEBAFF}" name="DESCRIÇÃO" headerRowDxfId="155" dataDxfId="154"/>
    <tableColumn id="5" xr3:uid="{DA75F3E0-D5A5-4FD5-9831-B77D7DEEE8AF}" name="Coluna1" headerRowDxfId="153" dataDxfId="152"/>
    <tableColumn id="3" xr3:uid="{72BDE004-E715-4CD3-B717-766DB5E6EB0C}" name="Coluna2" headerRowDxfId="151" dataDxfId="150"/>
  </tableColumns>
  <tableStyleInfo name="TableStyleLight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482049F-73FC-467B-83F4-3A735D1B5712}" name="Tabela12" displayName="Tabela12" ref="A40:E43" totalsRowShown="0" headerRowDxfId="149" dataDxfId="147" headerRowBorderDxfId="148" tableBorderDxfId="146" totalsRowBorderDxfId="145">
  <tableColumns count="5">
    <tableColumn id="1" xr3:uid="{BB210407-A0C0-46A2-9E78-36DEDC054A71}" name="ITEM " dataDxfId="144"/>
    <tableColumn id="2" xr3:uid="{DE4F9A0B-B87C-4587-86BD-6BC56C5830BC}" name="DESCRIÇÃO" dataDxfId="143"/>
    <tableColumn id="3" xr3:uid="{B5D5B8BD-F91C-401F-B991-94795E05141A}" name="Coluna1" dataDxfId="142"/>
    <tableColumn id="4" xr3:uid="{EA3AD31A-7AE6-4B99-B7CE-DFC64B8C7672}" name="UNIDADE" dataDxfId="141"/>
    <tableColumn id="5" xr3:uid="{388A4AAE-5390-4093-A1D0-D94F2ACA6735}" name="V. UNITÁRIO" dataDxfId="140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F81896-A20A-4C78-BAB3-C8B195EA72D0}" name="Tabela8141924" displayName="Tabela8141924" ref="A1:E15" totalsRowShown="0" headerRowDxfId="139" dataDxfId="137" headerRowBorderDxfId="138" tableBorderDxfId="136" totalsRowBorderDxfId="135">
  <autoFilter ref="A1:E15" xr:uid="{C0F81896-A20A-4C78-BAB3-C8B195EA72D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5E0B55-6DFF-4D61-84BD-85861E1EF8F5}" name="Coluna1" dataDxfId="134"/>
    <tableColumn id="2" xr3:uid="{9A6F4210-201C-447C-AACA-EDC1D4412478}" name="MÃO DE OBRA" dataDxfId="133"/>
    <tableColumn id="3" xr3:uid="{5C5385C6-72A6-4DF9-BDD0-ED538382C0E4}" name="Coluna2" dataDxfId="132"/>
    <tableColumn id="4" xr3:uid="{23C7AA75-51A9-4694-99F4-A4337A171439}" name="Coluna3" dataDxfId="131"/>
    <tableColumn id="5" xr3:uid="{BEFC5918-1B03-4108-AD6D-BD8BAD8F7619}" name="Coluna4" dataDxfId="130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DAF3FBC-9DCB-4FBB-8063-9F7F4321774C}" name="Tabela9152025" displayName="Tabela9152025" ref="A16:E24" totalsRowShown="0" headerRowDxfId="129" dataDxfId="127" headerRowBorderDxfId="128" tableBorderDxfId="126" totalsRowBorderDxfId="125">
  <tableColumns count="5">
    <tableColumn id="1" xr3:uid="{DDF5AA11-4693-499D-9E30-8AA11E8AAA41}" name="ITEM " dataDxfId="124"/>
    <tableColumn id="2" xr3:uid="{217F8820-8321-4619-A77E-8F095423C966}" name="DESCRIÇÃO" dataDxfId="123"/>
    <tableColumn id="3" xr3:uid="{7EC6C26D-DA60-4150-B551-6AB5836583EB}" name="QUANT." dataDxfId="122"/>
    <tableColumn id="4" xr3:uid="{940D8BFE-F8F7-433A-9DEB-0E32491CFEE0}" name="V. UNITÁRIO" dataDxfId="121"/>
    <tableColumn id="5" xr3:uid="{A1C5F04E-00A9-427A-9BE5-30A9A82EE16D}" name="V. TOTAL" dataDxfId="120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CF762A9-FE82-4624-B6F0-CB0F8542DED8}" name="Tabela10162126" displayName="Tabela10162126" ref="A25:E33" totalsRowShown="0" headerRowDxfId="119" dataDxfId="117" headerRowBorderDxfId="118" tableBorderDxfId="116" totalsRowBorderDxfId="115">
  <tableColumns count="5">
    <tableColumn id="1" xr3:uid="{F444E4EC-7CBE-4A75-AA0D-6778B9FF67BF}" name="ITEM " dataDxfId="114"/>
    <tableColumn id="2" xr3:uid="{82445974-1C21-4028-B6DA-7BC76958B56D}" name="DESCRIÇÃO" dataDxfId="113"/>
    <tableColumn id="3" xr3:uid="{86F84F53-C829-43FC-A9E0-9E5045FC466A}" name="QUANT." dataDxfId="112"/>
    <tableColumn id="4" xr3:uid="{8A4FB18D-84A9-4510-8D43-14ADA57A482D}" name="V. UNITÁRIO" dataDxfId="111"/>
    <tableColumn id="5" xr3:uid="{DB6FD772-8CA2-4DE8-AB88-37E8EE02EBF7}" name="V. TOTAL" dataDxfId="110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49FD464-4FC0-4D4C-A219-F8F3EF083684}" name="Tabela11172227" displayName="Tabela11172227" ref="A34:C39" totalsRowShown="0" headerRowDxfId="109" dataDxfId="107" headerRowBorderDxfId="108" tableBorderDxfId="106" totalsRowBorderDxfId="105">
  <tableColumns count="3">
    <tableColumn id="1" xr3:uid="{D0164135-1985-4851-9C31-17B07518EDDF}" name="ITEM " dataDxfId="104"/>
    <tableColumn id="2" xr3:uid="{82763203-99CE-4226-9E4A-FA84C980534C}" name="DESCRIÇÃO" dataDxfId="103"/>
    <tableColumn id="5" xr3:uid="{047237A9-C500-49F5-AB71-A88A187B33C6}" name="V. TOTAL" dataDxfId="10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454A-113A-4D32-ABB5-F8FA958EC3A8}">
  <dimension ref="A5:K20"/>
  <sheetViews>
    <sheetView workbookViewId="0">
      <selection activeCell="C10" sqref="C10"/>
    </sheetView>
  </sheetViews>
  <sheetFormatPr defaultRowHeight="16.5"/>
  <cols>
    <col min="1" max="1" width="5.28515625" style="251" customWidth="1"/>
    <col min="2" max="2" width="5.140625" style="241" customWidth="1"/>
    <col min="3" max="3" width="34.28515625" style="242" customWidth="1"/>
    <col min="4" max="4" width="10.42578125" style="243" customWidth="1"/>
    <col min="5" max="5" width="13.85546875" style="243" customWidth="1"/>
    <col min="6" max="6" width="11.42578125" style="243" customWidth="1"/>
    <col min="7" max="7" width="13.5703125" style="243" customWidth="1"/>
    <col min="8" max="8" width="14.85546875" style="240" customWidth="1"/>
    <col min="10" max="11" width="13.28515625" bestFit="1" customWidth="1"/>
  </cols>
  <sheetData>
    <row r="5" spans="2:11" ht="82.5" customHeight="1">
      <c r="B5" s="276" t="s">
        <v>151</v>
      </c>
      <c r="C5" s="276"/>
      <c r="D5" s="276"/>
      <c r="E5" s="276"/>
      <c r="F5" s="276"/>
      <c r="G5" s="276"/>
    </row>
    <row r="6" spans="2:11" ht="18" customHeight="1">
      <c r="B6" s="274" t="s">
        <v>104</v>
      </c>
      <c r="C6" s="274"/>
    </row>
    <row r="7" spans="2:11">
      <c r="D7" s="243" t="s">
        <v>150</v>
      </c>
    </row>
    <row r="8" spans="2:11">
      <c r="D8" s="243" t="s">
        <v>92</v>
      </c>
    </row>
    <row r="9" spans="2:11">
      <c r="D9" s="243" t="s">
        <v>69</v>
      </c>
    </row>
    <row r="11" spans="2:11">
      <c r="B11" s="275" t="s">
        <v>138</v>
      </c>
      <c r="C11" s="275"/>
      <c r="D11" s="275"/>
      <c r="E11" s="275"/>
      <c r="F11" s="275"/>
      <c r="G11" s="275"/>
    </row>
    <row r="13" spans="2:11" ht="48">
      <c r="B13" s="252" t="s">
        <v>0</v>
      </c>
      <c r="C13" s="253" t="s">
        <v>1</v>
      </c>
      <c r="D13" s="252" t="s">
        <v>9</v>
      </c>
      <c r="E13" s="254" t="s">
        <v>139</v>
      </c>
      <c r="F13" s="254" t="s">
        <v>71</v>
      </c>
      <c r="G13" s="254" t="s">
        <v>72</v>
      </c>
    </row>
    <row r="14" spans="2:11" ht="33" customHeight="1">
      <c r="B14" s="255">
        <v>1</v>
      </c>
      <c r="C14" s="259" t="s">
        <v>140</v>
      </c>
      <c r="D14" s="260" t="s">
        <v>141</v>
      </c>
      <c r="E14" s="261">
        <v>2520000</v>
      </c>
      <c r="F14" s="262">
        <v>0.62</v>
      </c>
      <c r="G14" s="263">
        <f>F14*E14</f>
        <v>1562400</v>
      </c>
      <c r="J14" s="229"/>
      <c r="K14" s="226"/>
    </row>
    <row r="15" spans="2:11" ht="33" customHeight="1">
      <c r="B15" s="255">
        <v>2</v>
      </c>
      <c r="C15" s="259" t="s">
        <v>148</v>
      </c>
      <c r="D15" s="260" t="s">
        <v>141</v>
      </c>
      <c r="E15" s="261">
        <v>485160</v>
      </c>
      <c r="F15" s="262">
        <v>0.76</v>
      </c>
      <c r="G15" s="263">
        <f t="shared" ref="G15:G19" si="0">F15*E15</f>
        <v>368721.6</v>
      </c>
      <c r="J15" s="229"/>
      <c r="K15" s="226"/>
    </row>
    <row r="16" spans="2:11" ht="33" customHeight="1">
      <c r="B16" s="255">
        <v>3</v>
      </c>
      <c r="C16" s="259" t="s">
        <v>143</v>
      </c>
      <c r="D16" s="260" t="s">
        <v>37</v>
      </c>
      <c r="E16" s="261">
        <v>1749600</v>
      </c>
      <c r="F16" s="262">
        <v>1.91</v>
      </c>
      <c r="G16" s="263">
        <f t="shared" si="0"/>
        <v>3341736</v>
      </c>
      <c r="J16" s="229"/>
      <c r="K16" s="226"/>
    </row>
    <row r="17" spans="2:11" ht="33" customHeight="1">
      <c r="B17" s="255">
        <v>4</v>
      </c>
      <c r="C17" s="259" t="s">
        <v>144</v>
      </c>
      <c r="D17" s="260" t="s">
        <v>32</v>
      </c>
      <c r="E17" s="261">
        <v>600</v>
      </c>
      <c r="F17" s="262">
        <v>408.77</v>
      </c>
      <c r="G17" s="263">
        <f t="shared" si="0"/>
        <v>245262</v>
      </c>
      <c r="J17" s="229"/>
      <c r="K17" s="226"/>
    </row>
    <row r="18" spans="2:11" ht="33" customHeight="1">
      <c r="B18" s="255">
        <v>5</v>
      </c>
      <c r="C18" s="259" t="s">
        <v>145</v>
      </c>
      <c r="D18" s="260" t="s">
        <v>32</v>
      </c>
      <c r="E18" s="261">
        <v>960</v>
      </c>
      <c r="F18" s="264">
        <v>835.86</v>
      </c>
      <c r="G18" s="263">
        <f t="shared" si="0"/>
        <v>802425.6</v>
      </c>
      <c r="J18" s="229"/>
      <c r="K18" s="226"/>
    </row>
    <row r="19" spans="2:11" ht="33" customHeight="1">
      <c r="B19" s="255">
        <v>6</v>
      </c>
      <c r="C19" s="259" t="s">
        <v>146</v>
      </c>
      <c r="D19" s="260" t="s">
        <v>141</v>
      </c>
      <c r="E19" s="261">
        <v>12000</v>
      </c>
      <c r="F19" s="262">
        <v>50.73</v>
      </c>
      <c r="G19" s="263">
        <f t="shared" si="0"/>
        <v>608760</v>
      </c>
      <c r="J19" s="229"/>
      <c r="K19" s="226"/>
    </row>
    <row r="20" spans="2:11" ht="33" customHeight="1">
      <c r="B20" s="252"/>
      <c r="C20" s="256"/>
      <c r="D20" s="252"/>
      <c r="E20" s="252"/>
      <c r="F20" s="257" t="s">
        <v>77</v>
      </c>
      <c r="G20" s="258">
        <f>SUM(G14:G19)</f>
        <v>6929305.1999999993</v>
      </c>
      <c r="K20" s="226"/>
    </row>
  </sheetData>
  <mergeCells count="3">
    <mergeCell ref="B6:C6"/>
    <mergeCell ref="B11:G11"/>
    <mergeCell ref="B5:G5"/>
  </mergeCells>
  <pageMargins left="0.31496062992125984" right="0.11811023622047245" top="0.78740157480314965" bottom="0.59055118110236227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2304-24E3-4E5C-90D3-DBCEE381F4B6}">
  <sheetPr>
    <pageSetUpPr fitToPage="1"/>
  </sheetPr>
  <dimension ref="A1:F31"/>
  <sheetViews>
    <sheetView zoomScaleNormal="100" workbookViewId="0">
      <selection activeCell="A26" sqref="A26:J41"/>
    </sheetView>
  </sheetViews>
  <sheetFormatPr defaultColWidth="8.85546875" defaultRowHeight="12.75"/>
  <cols>
    <col min="1" max="1" width="14" style="1" customWidth="1"/>
    <col min="2" max="2" width="21.85546875" style="1" customWidth="1"/>
    <col min="3" max="3" width="14" style="1" customWidth="1"/>
    <col min="4" max="4" width="28.5703125" style="1" customWidth="1"/>
    <col min="5" max="5" width="14" style="1" customWidth="1"/>
    <col min="6" max="16384" width="8.85546875" style="1"/>
  </cols>
  <sheetData>
    <row r="1" spans="1:6" ht="44.45" customHeight="1">
      <c r="A1" s="288"/>
      <c r="B1" s="288"/>
      <c r="C1" s="288"/>
      <c r="D1" s="288"/>
      <c r="E1" s="288"/>
      <c r="F1" s="288"/>
    </row>
    <row r="2" spans="1:6">
      <c r="A2" s="289"/>
      <c r="B2" s="289"/>
      <c r="C2" s="289"/>
      <c r="D2" s="289"/>
      <c r="E2" s="289"/>
      <c r="F2" s="289"/>
    </row>
    <row r="3" spans="1:6">
      <c r="A3" s="289"/>
      <c r="B3" s="289"/>
      <c r="C3" s="289"/>
      <c r="D3" s="289"/>
      <c r="E3" s="289"/>
      <c r="F3" s="289"/>
    </row>
    <row r="4" spans="1:6" ht="20.25">
      <c r="A4" s="290" t="s">
        <v>10</v>
      </c>
      <c r="B4" s="290"/>
      <c r="C4" s="290"/>
      <c r="D4" s="290"/>
      <c r="E4" s="290"/>
      <c r="F4" s="290"/>
    </row>
    <row r="5" spans="1:6" ht="12.6" customHeight="1">
      <c r="A5" s="291"/>
      <c r="B5" s="292"/>
      <c r="C5" s="292"/>
      <c r="D5" s="292"/>
      <c r="E5" s="292"/>
      <c r="F5" s="2"/>
    </row>
    <row r="6" spans="1:6" ht="25.5">
      <c r="A6" s="3" t="s">
        <v>11</v>
      </c>
      <c r="B6" s="293" t="s">
        <v>12</v>
      </c>
      <c r="C6" s="294"/>
      <c r="D6" s="294"/>
      <c r="E6" s="294"/>
      <c r="F6" s="295"/>
    </row>
    <row r="7" spans="1:6">
      <c r="A7" s="4"/>
      <c r="B7" s="5"/>
      <c r="C7" s="5"/>
      <c r="D7" s="5"/>
      <c r="E7" s="5"/>
      <c r="F7" s="2"/>
    </row>
    <row r="8" spans="1:6">
      <c r="A8" s="6" t="s">
        <v>13</v>
      </c>
      <c r="B8" s="5"/>
      <c r="C8" s="5"/>
      <c r="D8" s="7"/>
      <c r="E8" s="7"/>
      <c r="F8" s="8"/>
    </row>
    <row r="9" spans="1:6">
      <c r="A9" s="4"/>
      <c r="B9" s="5" t="s">
        <v>14</v>
      </c>
      <c r="C9" s="9">
        <v>3.65</v>
      </c>
      <c r="D9" s="10" t="s">
        <v>15</v>
      </c>
      <c r="E9" s="7"/>
      <c r="F9" s="8"/>
    </row>
    <row r="10" spans="1:6">
      <c r="A10" s="4"/>
      <c r="B10" s="5" t="s">
        <v>16</v>
      </c>
      <c r="C10" s="11">
        <v>2</v>
      </c>
      <c r="D10" s="10" t="s">
        <v>15</v>
      </c>
      <c r="E10" s="7"/>
      <c r="F10" s="8"/>
    </row>
    <row r="11" spans="1:6">
      <c r="A11" s="4"/>
      <c r="B11" s="5" t="s">
        <v>17</v>
      </c>
      <c r="C11" s="12">
        <v>60</v>
      </c>
      <c r="D11" s="10" t="s">
        <v>15</v>
      </c>
      <c r="E11" s="7"/>
      <c r="F11" s="8"/>
    </row>
    <row r="12" spans="1:6">
      <c r="A12" s="4"/>
      <c r="B12" s="5" t="s">
        <v>18</v>
      </c>
      <c r="C12" s="12">
        <v>4.5</v>
      </c>
      <c r="D12" s="10" t="s">
        <v>15</v>
      </c>
      <c r="E12" s="7"/>
      <c r="F12" s="8"/>
    </row>
    <row r="13" spans="1:6">
      <c r="A13" s="4"/>
      <c r="B13" s="13" t="s">
        <v>19</v>
      </c>
      <c r="C13" s="14">
        <f>C9+C10+C12</f>
        <v>10.15</v>
      </c>
      <c r="D13" s="15" t="s">
        <v>15</v>
      </c>
      <c r="E13" s="16"/>
      <c r="F13" s="8"/>
    </row>
    <row r="14" spans="1:6">
      <c r="A14" s="4"/>
      <c r="B14" s="5"/>
      <c r="C14" s="5"/>
      <c r="D14" s="16"/>
      <c r="E14" s="283" t="s">
        <v>20</v>
      </c>
      <c r="F14" s="8"/>
    </row>
    <row r="15" spans="1:6">
      <c r="A15" s="4"/>
      <c r="B15" s="5"/>
      <c r="C15" s="5"/>
      <c r="D15" s="16"/>
      <c r="E15" s="284"/>
      <c r="F15" s="8"/>
    </row>
    <row r="16" spans="1:6">
      <c r="A16" s="4"/>
      <c r="B16" s="5"/>
      <c r="C16" s="5"/>
      <c r="D16" s="16"/>
      <c r="E16" s="17">
        <v>3.45</v>
      </c>
      <c r="F16" s="8"/>
    </row>
    <row r="17" spans="1:6">
      <c r="A17" s="4"/>
      <c r="B17" s="5"/>
      <c r="C17" s="5"/>
      <c r="D17" s="16"/>
      <c r="E17" s="17">
        <v>0.48</v>
      </c>
      <c r="F17" s="8"/>
    </row>
    <row r="18" spans="1:6">
      <c r="A18" s="4"/>
      <c r="B18" s="5"/>
      <c r="C18" s="5"/>
      <c r="D18" s="16"/>
      <c r="E18" s="17">
        <v>0.85</v>
      </c>
      <c r="F18" s="8"/>
    </row>
    <row r="19" spans="1:6">
      <c r="A19" s="4"/>
      <c r="B19" s="5"/>
      <c r="C19" s="5"/>
      <c r="D19" s="16"/>
      <c r="E19" s="17">
        <v>0.85</v>
      </c>
      <c r="F19" s="8"/>
    </row>
    <row r="20" spans="1:6">
      <c r="A20" s="4"/>
      <c r="B20" s="5"/>
      <c r="C20" s="5"/>
      <c r="D20" s="16"/>
      <c r="E20" s="17">
        <v>3.5</v>
      </c>
      <c r="F20" s="8"/>
    </row>
    <row r="21" spans="1:6">
      <c r="A21" s="4"/>
      <c r="B21" s="5"/>
      <c r="C21" s="5"/>
      <c r="D21" s="16"/>
      <c r="E21" s="16"/>
      <c r="F21" s="8"/>
    </row>
    <row r="22" spans="1:6" ht="17.45" customHeight="1">
      <c r="A22" s="4"/>
      <c r="B22" s="5"/>
      <c r="C22" s="5"/>
      <c r="D22" s="16"/>
      <c r="E22" s="16"/>
      <c r="F22" s="8"/>
    </row>
    <row r="23" spans="1:6">
      <c r="A23" s="285" t="s">
        <v>21</v>
      </c>
      <c r="B23" s="286"/>
      <c r="C23" s="286"/>
      <c r="D23" s="287"/>
      <c r="E23" s="18">
        <f>((((1+(E16+E17+E18)/100))*(1+E19/100)*(1+E20/100))/(1-C13/100))-1</f>
        <v>0.21724097996661129</v>
      </c>
      <c r="F23" s="8"/>
    </row>
    <row r="24" spans="1:6">
      <c r="A24" s="19"/>
      <c r="F24" s="20"/>
    </row>
    <row r="25" spans="1:6">
      <c r="A25" s="19"/>
      <c r="F25" s="20"/>
    </row>
    <row r="26" spans="1:6">
      <c r="A26" s="19"/>
      <c r="F26" s="20"/>
    </row>
    <row r="27" spans="1:6">
      <c r="A27" s="19"/>
      <c r="F27" s="20"/>
    </row>
    <row r="28" spans="1:6">
      <c r="A28" s="19"/>
      <c r="B28" s="1" t="s">
        <v>22</v>
      </c>
      <c r="F28" s="20"/>
    </row>
    <row r="29" spans="1:6">
      <c r="A29" s="21"/>
      <c r="F29" s="20"/>
    </row>
    <row r="30" spans="1:6">
      <c r="A30" s="21"/>
      <c r="F30" s="20"/>
    </row>
    <row r="31" spans="1:6">
      <c r="A31" s="22"/>
      <c r="B31" s="23"/>
      <c r="C31" s="23"/>
      <c r="D31" s="23"/>
      <c r="E31" s="23"/>
      <c r="F31" s="24"/>
    </row>
  </sheetData>
  <mergeCells count="8">
    <mergeCell ref="E14:E15"/>
    <mergeCell ref="A23:D23"/>
    <mergeCell ref="A1:F1"/>
    <mergeCell ref="A2:F2"/>
    <mergeCell ref="A3:F3"/>
    <mergeCell ref="A4:F4"/>
    <mergeCell ref="A5:E5"/>
    <mergeCell ref="B6:F6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differentFirst="1" scaleWithDoc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A658-996A-4B9D-AE4E-B90C0B6B99C2}">
  <dimension ref="A2:R41"/>
  <sheetViews>
    <sheetView topLeftCell="B4" zoomScale="70" zoomScaleNormal="70" workbookViewId="0">
      <selection activeCell="D9" sqref="D9"/>
    </sheetView>
  </sheetViews>
  <sheetFormatPr defaultRowHeight="15"/>
  <cols>
    <col min="2" max="2" width="58.5703125" customWidth="1"/>
    <col min="3" max="3" width="12.140625" customWidth="1"/>
    <col min="4" max="4" width="20.140625" bestFit="1" customWidth="1"/>
    <col min="5" max="5" width="21.7109375" customWidth="1"/>
    <col min="6" max="6" width="22.85546875" customWidth="1"/>
    <col min="7" max="7" width="22.42578125" customWidth="1"/>
    <col min="8" max="8" width="22.28515625" customWidth="1"/>
    <col min="9" max="9" width="23.5703125" customWidth="1"/>
    <col min="10" max="10" width="21.5703125" customWidth="1"/>
    <col min="13" max="13" width="16.7109375" customWidth="1"/>
    <col min="15" max="15" width="18.85546875" customWidth="1"/>
    <col min="17" max="17" width="17.5703125" customWidth="1"/>
  </cols>
  <sheetData>
    <row r="2" spans="1:18" ht="62.25" customHeight="1">
      <c r="A2" s="280" t="s">
        <v>105</v>
      </c>
      <c r="B2" s="281"/>
      <c r="C2" s="281"/>
      <c r="D2" s="281"/>
      <c r="E2" s="281"/>
      <c r="F2" s="282" t="s">
        <v>134</v>
      </c>
      <c r="G2" s="282"/>
      <c r="H2" s="26"/>
    </row>
    <row r="3" spans="1:18">
      <c r="A3" s="101" t="s">
        <v>104</v>
      </c>
      <c r="B3" s="102"/>
      <c r="C3" s="102"/>
      <c r="D3" s="102"/>
      <c r="F3" s="105"/>
      <c r="G3" s="106"/>
      <c r="H3" s="96"/>
    </row>
    <row r="4" spans="1:18">
      <c r="A4" s="101"/>
      <c r="B4" s="102"/>
      <c r="C4" s="102"/>
      <c r="D4" s="102"/>
      <c r="F4" s="105" t="s">
        <v>92</v>
      </c>
      <c r="G4" s="107"/>
      <c r="H4" s="96"/>
    </row>
    <row r="5" spans="1:18">
      <c r="A5" s="101"/>
      <c r="B5" s="102"/>
      <c r="C5" s="102"/>
      <c r="D5" s="102"/>
      <c r="F5" s="108" t="s">
        <v>133</v>
      </c>
      <c r="G5" s="108"/>
      <c r="H5" s="96"/>
    </row>
    <row r="6" spans="1:18">
      <c r="A6" s="103"/>
      <c r="B6" s="104"/>
      <c r="C6" s="104"/>
      <c r="D6" s="104"/>
      <c r="E6" s="104"/>
      <c r="F6" s="104"/>
      <c r="G6" s="104"/>
      <c r="H6" s="97"/>
    </row>
    <row r="7" spans="1:18" ht="36">
      <c r="A7" s="180" t="s">
        <v>0</v>
      </c>
      <c r="B7" s="180" t="s">
        <v>1</v>
      </c>
      <c r="C7" s="180" t="s">
        <v>9</v>
      </c>
      <c r="D7" s="180" t="s">
        <v>67</v>
      </c>
      <c r="E7" s="181" t="s">
        <v>70</v>
      </c>
      <c r="F7" s="181" t="s">
        <v>132</v>
      </c>
      <c r="G7" s="181" t="s">
        <v>72</v>
      </c>
      <c r="H7" s="181" t="s">
        <v>68</v>
      </c>
    </row>
    <row r="8" spans="1:18" ht="18">
      <c r="A8" s="200">
        <v>1</v>
      </c>
      <c r="B8" s="200" t="s">
        <v>73</v>
      </c>
      <c r="C8" s="201" t="str">
        <f>varrição!D42</f>
        <v>m</v>
      </c>
      <c r="D8" s="202">
        <f>'ORÇAMENTO DESONERADO'!D8</f>
        <v>210000</v>
      </c>
      <c r="E8" s="203">
        <f>'ORÇAMENTO DESONERADO'!E8</f>
        <v>0.51</v>
      </c>
      <c r="F8" s="203">
        <f>TRUNC('ORÇAMENTO SEM DESONERAÇÃO'!$E8*1.1592,2)</f>
        <v>0.59</v>
      </c>
      <c r="G8" s="203">
        <f>TRUNC('ORÇAMENTO SEM DESONERAÇÃO'!$F8*'ORÇAMENTO SEM DESONERAÇÃO'!$D8,2)</f>
        <v>123900</v>
      </c>
      <c r="H8" s="203">
        <f>TRUNC('ORÇAMENTO SEM DESONERAÇÃO'!$G8*12,2)</f>
        <v>1486800</v>
      </c>
      <c r="I8" s="226">
        <f>D8*F8*12</f>
        <v>1486800</v>
      </c>
      <c r="J8" s="226">
        <v>1303506</v>
      </c>
      <c r="M8" s="227">
        <v>2.4900000000000002</v>
      </c>
      <c r="O8" s="228">
        <v>35850</v>
      </c>
      <c r="Q8">
        <v>3.0308280000000005</v>
      </c>
      <c r="R8">
        <v>3.03</v>
      </c>
    </row>
    <row r="9" spans="1:18" ht="18">
      <c r="A9" s="200">
        <v>2</v>
      </c>
      <c r="B9" s="200" t="s">
        <v>74</v>
      </c>
      <c r="C9" s="201" t="str">
        <f>caiação!D38</f>
        <v>m</v>
      </c>
      <c r="D9" s="202">
        <f>'ORÇAMENTO DESONERADO'!D9</f>
        <v>40430</v>
      </c>
      <c r="E9" s="203">
        <f>'ORÇAMENTO DESONERADO'!E9</f>
        <v>0.63</v>
      </c>
      <c r="F9" s="203">
        <f>TRUNC('ORÇAMENTO SEM DESONERAÇÃO'!$E9*1.1592,2)</f>
        <v>0.73</v>
      </c>
      <c r="G9" s="203">
        <f>TRUNC('ORÇAMENTO SEM DESONERAÇÃO'!$F9*'ORÇAMENTO SEM DESONERAÇÃO'!$D9,2)</f>
        <v>29513.9</v>
      </c>
      <c r="H9" s="203">
        <f>TRUNC('ORÇAMENTO SEM DESONERAÇÃO'!$G9*12,2)</f>
        <v>354166.8</v>
      </c>
      <c r="I9" s="226"/>
      <c r="J9" s="226">
        <v>946081.42</v>
      </c>
      <c r="M9" s="227">
        <v>1.6059175950120574</v>
      </c>
      <c r="O9" s="228">
        <v>40430.83</v>
      </c>
      <c r="Q9">
        <v>1.9596920000000002</v>
      </c>
      <c r="R9">
        <v>1.95</v>
      </c>
    </row>
    <row r="10" spans="1:18" ht="18">
      <c r="A10" s="200">
        <v>3</v>
      </c>
      <c r="B10" s="200" t="s">
        <v>76</v>
      </c>
      <c r="C10" s="201" t="str">
        <f>roçada!C42</f>
        <v>M2</v>
      </c>
      <c r="D10" s="202">
        <f>'ORÇAMENTO DESONERADO'!D10</f>
        <v>145800</v>
      </c>
      <c r="E10" s="203">
        <f>'ORÇAMENTO DESONERADO'!E10</f>
        <v>1.57</v>
      </c>
      <c r="F10" s="203">
        <f>TRUNC('ORÇAMENTO SEM DESONERAÇÃO'!$E10*1.1592,2)</f>
        <v>1.81</v>
      </c>
      <c r="G10" s="203">
        <f>TRUNC('ORÇAMENTO SEM DESONERAÇÃO'!$F10*'ORÇAMENTO SEM DESONERAÇÃO'!$D10,2)</f>
        <v>263898</v>
      </c>
      <c r="H10" s="203">
        <f>TRUNC('ORÇAMENTO SEM DESONERAÇÃO'!$G10*12,2)</f>
        <v>3166776</v>
      </c>
      <c r="I10" s="226"/>
      <c r="J10" s="226">
        <v>1290144.96</v>
      </c>
      <c r="M10" s="227">
        <v>0.83799232008272928</v>
      </c>
      <c r="O10" s="228">
        <v>105404</v>
      </c>
      <c r="Q10">
        <v>1.022448</v>
      </c>
      <c r="R10">
        <v>1.02</v>
      </c>
    </row>
    <row r="11" spans="1:18" ht="18">
      <c r="A11" s="200">
        <v>4</v>
      </c>
      <c r="B11" s="200" t="s">
        <v>83</v>
      </c>
      <c r="C11" s="201" t="str">
        <f>bueiro!C40</f>
        <v>UND</v>
      </c>
      <c r="D11" s="202">
        <f>'ORÇAMENTO DESONERADO'!D11</f>
        <v>50</v>
      </c>
      <c r="E11" s="203">
        <f>'ORÇAMENTO DESONERADO'!E11</f>
        <v>335.83</v>
      </c>
      <c r="F11" s="203">
        <f>TRUNC('ORÇAMENTO SEM DESONERAÇÃO'!$E11*1.1592,2)</f>
        <v>389.29</v>
      </c>
      <c r="G11" s="203">
        <f>TRUNC('ORÇAMENTO SEM DESONERAÇÃO'!$F11*'ORÇAMENTO SEM DESONERAÇÃO'!$D11,2)</f>
        <v>19464.5</v>
      </c>
      <c r="H11" s="203">
        <f>TRUNC('ORÇAMENTO SEM DESONERAÇÃO'!$G11*12,2)</f>
        <v>233574</v>
      </c>
      <c r="I11" s="226"/>
      <c r="J11" s="226">
        <v>485544</v>
      </c>
      <c r="M11" s="227">
        <v>664.84060996000005</v>
      </c>
      <c r="O11" s="228">
        <v>50</v>
      </c>
      <c r="Q11">
        <v>809.24324800000011</v>
      </c>
      <c r="R11">
        <v>809.24</v>
      </c>
    </row>
    <row r="12" spans="1:18" ht="18">
      <c r="A12" s="200">
        <v>5</v>
      </c>
      <c r="B12" s="200" t="s">
        <v>75</v>
      </c>
      <c r="C12" s="201" t="str">
        <f>[2]poda!C43</f>
        <v>UND</v>
      </c>
      <c r="D12" s="202">
        <f>'ORÇAMENTO DESONERADO'!D12</f>
        <v>80</v>
      </c>
      <c r="E12" s="203">
        <f>'ORÇAMENTO DESONERADO'!E12</f>
        <v>686.71</v>
      </c>
      <c r="F12" s="203">
        <f>TRUNC('ORÇAMENTO SEM DESONERAÇÃO'!$E12*1.1592,2)</f>
        <v>796.03</v>
      </c>
      <c r="G12" s="203">
        <f>TRUNC('ORÇAMENTO SEM DESONERAÇÃO'!$F12*'ORÇAMENTO SEM DESONERAÇÃO'!$D12,2)</f>
        <v>63682.400000000001</v>
      </c>
      <c r="H12" s="203">
        <f>TRUNC('ORÇAMENTO SEM DESONERAÇÃO'!$G12*12,2)</f>
        <v>764188.8</v>
      </c>
      <c r="I12" s="226"/>
      <c r="J12" s="226">
        <v>846966.33</v>
      </c>
      <c r="M12" s="227">
        <v>724.82467401249994</v>
      </c>
      <c r="O12" s="228">
        <v>80</v>
      </c>
      <c r="Q12">
        <v>882.25090400000011</v>
      </c>
      <c r="R12">
        <v>882.25</v>
      </c>
    </row>
    <row r="13" spans="1:18" ht="18">
      <c r="A13" s="219">
        <v>6</v>
      </c>
      <c r="B13" s="220" t="s">
        <v>103</v>
      </c>
      <c r="C13" s="201" t="s">
        <v>85</v>
      </c>
      <c r="D13" s="202">
        <f>'ORÇAMENTO DESONERADO'!D13</f>
        <v>1000</v>
      </c>
      <c r="E13" s="203">
        <f>'ORÇAMENTO DESONERADO'!E13</f>
        <v>41.68</v>
      </c>
      <c r="F13" s="203">
        <f>TRUNC('ORÇAMENTO SEM DESONERAÇÃO'!$E13*1.1592,2)</f>
        <v>48.31</v>
      </c>
      <c r="G13" s="203">
        <f>TRUNC('ORÇAMENTO SEM DESONERAÇÃO'!$F13*'ORÇAMENTO SEM DESONERAÇÃO'!$D13,2)</f>
        <v>48310</v>
      </c>
      <c r="H13" s="203">
        <f>TRUNC('ORÇAMENTO SEM DESONERAÇÃO'!$G13*12,2)</f>
        <v>579720</v>
      </c>
      <c r="I13" s="226"/>
      <c r="J13" s="226">
        <v>1187640</v>
      </c>
      <c r="M13" s="227">
        <v>81.308722813000003</v>
      </c>
      <c r="O13" s="228">
        <v>1000</v>
      </c>
      <c r="Q13">
        <v>98.970532000000006</v>
      </c>
      <c r="R13">
        <v>98.97</v>
      </c>
    </row>
    <row r="14" spans="1:18" ht="18">
      <c r="A14" s="204"/>
      <c r="B14" s="205"/>
      <c r="C14" s="206"/>
      <c r="D14" s="207"/>
      <c r="E14" s="208"/>
      <c r="F14" s="209" t="s">
        <v>77</v>
      </c>
      <c r="G14" s="210">
        <f>SUM(G8:G13)</f>
        <v>548768.80000000005</v>
      </c>
      <c r="H14" s="210">
        <f>SUM(H8:H13)</f>
        <v>6585225.5999999996</v>
      </c>
      <c r="I14" s="226"/>
      <c r="J14" s="226">
        <v>6059882.71</v>
      </c>
    </row>
    <row r="16" spans="1:18" ht="36">
      <c r="A16" s="182" t="s">
        <v>0</v>
      </c>
      <c r="B16" s="182" t="s">
        <v>1</v>
      </c>
      <c r="C16" s="182" t="s">
        <v>9</v>
      </c>
      <c r="D16" s="182" t="s">
        <v>67</v>
      </c>
      <c r="E16" s="183" t="s">
        <v>70</v>
      </c>
      <c r="F16" s="183" t="s">
        <v>71</v>
      </c>
      <c r="G16" s="183" t="s">
        <v>72</v>
      </c>
      <c r="H16" s="183" t="s">
        <v>68</v>
      </c>
      <c r="J16" s="229">
        <f>H14-J14</f>
        <v>525342.88999999966</v>
      </c>
    </row>
    <row r="17" spans="1:10" ht="18">
      <c r="A17" s="200">
        <v>1</v>
      </c>
      <c r="B17" s="200" t="str">
        <f t="shared" ref="B17:D21" si="0">B8</f>
        <v>Varrição</v>
      </c>
      <c r="C17" s="201" t="str">
        <f t="shared" si="0"/>
        <v>m</v>
      </c>
      <c r="D17" s="202">
        <f t="shared" si="0"/>
        <v>210000</v>
      </c>
      <c r="E17" s="203"/>
      <c r="F17" s="203"/>
      <c r="G17" s="203"/>
      <c r="H17" s="203"/>
    </row>
    <row r="18" spans="1:10" ht="18">
      <c r="A18" s="200">
        <v>2</v>
      </c>
      <c r="B18" s="200" t="str">
        <f t="shared" si="0"/>
        <v>Pintura de meio-fio</v>
      </c>
      <c r="C18" s="201" t="str">
        <f t="shared" si="0"/>
        <v>m</v>
      </c>
      <c r="D18" s="202">
        <f t="shared" si="0"/>
        <v>40430</v>
      </c>
      <c r="E18" s="203"/>
      <c r="F18" s="203"/>
      <c r="G18" s="203"/>
      <c r="H18" s="203"/>
    </row>
    <row r="19" spans="1:10" ht="18">
      <c r="A19" s="200">
        <v>3</v>
      </c>
      <c r="B19" s="200" t="str">
        <f t="shared" si="0"/>
        <v>Capinação e coleta de grama</v>
      </c>
      <c r="C19" s="201" t="str">
        <f t="shared" si="0"/>
        <v>M2</v>
      </c>
      <c r="D19" s="202">
        <f t="shared" si="0"/>
        <v>145800</v>
      </c>
      <c r="E19" s="203"/>
      <c r="F19" s="203"/>
      <c r="G19" s="203"/>
      <c r="H19" s="203"/>
    </row>
    <row r="20" spans="1:10" ht="18">
      <c r="A20" s="200">
        <v>4</v>
      </c>
      <c r="B20" s="200" t="str">
        <f t="shared" si="0"/>
        <v>Limpeza de Bueiro</v>
      </c>
      <c r="C20" s="201" t="str">
        <f t="shared" si="0"/>
        <v>UND</v>
      </c>
      <c r="D20" s="202">
        <f t="shared" si="0"/>
        <v>50</v>
      </c>
      <c r="E20" s="203"/>
      <c r="F20" s="203"/>
      <c r="G20" s="203"/>
      <c r="H20" s="203"/>
    </row>
    <row r="21" spans="1:10" ht="18">
      <c r="A21" s="200">
        <v>5</v>
      </c>
      <c r="B21" s="200" t="str">
        <f t="shared" si="0"/>
        <v>Corte, poda de arvore e coleta de entulhos e galhos</v>
      </c>
      <c r="C21" s="201" t="str">
        <f t="shared" si="0"/>
        <v>UND</v>
      </c>
      <c r="D21" s="202">
        <f t="shared" si="0"/>
        <v>80</v>
      </c>
      <c r="E21" s="203"/>
      <c r="F21" s="203"/>
      <c r="G21" s="203"/>
      <c r="H21" s="203"/>
    </row>
    <row r="22" spans="1:10" ht="18">
      <c r="A22" s="200">
        <v>6</v>
      </c>
      <c r="B22" s="200" t="s">
        <v>103</v>
      </c>
      <c r="C22" s="201" t="s">
        <v>85</v>
      </c>
      <c r="D22" s="202">
        <v>1000</v>
      </c>
      <c r="E22" s="203"/>
      <c r="F22" s="203"/>
      <c r="G22" s="203"/>
      <c r="H22" s="203"/>
    </row>
    <row r="23" spans="1:10" ht="18">
      <c r="A23" s="211"/>
      <c r="B23" s="211"/>
      <c r="C23" s="212"/>
      <c r="D23" s="213"/>
      <c r="E23" s="214"/>
      <c r="F23" s="215" t="s">
        <v>77</v>
      </c>
      <c r="G23" s="211"/>
      <c r="H23" s="211"/>
    </row>
    <row r="26" spans="1:10" ht="18">
      <c r="A26" s="182" t="s">
        <v>0</v>
      </c>
      <c r="B26" s="182" t="s">
        <v>1</v>
      </c>
      <c r="C26" s="182" t="s">
        <v>125</v>
      </c>
      <c r="D26" s="182" t="s">
        <v>78</v>
      </c>
      <c r="E26" s="183" t="s">
        <v>101</v>
      </c>
      <c r="F26" s="183" t="s">
        <v>102</v>
      </c>
      <c r="G26" s="183" t="s">
        <v>121</v>
      </c>
      <c r="H26" s="183" t="s">
        <v>122</v>
      </c>
      <c r="I26" s="183" t="s">
        <v>123</v>
      </c>
      <c r="J26" s="183" t="s">
        <v>124</v>
      </c>
    </row>
    <row r="27" spans="1:10" ht="18">
      <c r="A27" s="200">
        <v>1</v>
      </c>
      <c r="B27" s="200" t="str">
        <f>B17</f>
        <v>Varrição</v>
      </c>
      <c r="C27" s="216" t="str">
        <f>C17</f>
        <v>m</v>
      </c>
      <c r="D27" s="202">
        <f>H8</f>
        <v>1486800</v>
      </c>
      <c r="E27" s="203">
        <f>'ORÇAMENTO SEM DESONERAÇÃO'!$D27/12</f>
        <v>123900</v>
      </c>
      <c r="F27" s="218">
        <f>E27</f>
        <v>123900</v>
      </c>
      <c r="G27" s="218">
        <f>F27</f>
        <v>123900</v>
      </c>
      <c r="H27" s="218">
        <f>G27</f>
        <v>123900</v>
      </c>
      <c r="I27" s="218">
        <f>H27</f>
        <v>123900</v>
      </c>
      <c r="J27" s="218">
        <f>I27</f>
        <v>123900</v>
      </c>
    </row>
    <row r="28" spans="1:10" ht="18">
      <c r="A28" s="200">
        <v>2</v>
      </c>
      <c r="B28" s="200" t="str">
        <f>B18</f>
        <v>Pintura de meio-fio</v>
      </c>
      <c r="C28" s="216" t="str">
        <f t="shared" ref="C28:C32" si="1">C18</f>
        <v>m</v>
      </c>
      <c r="D28" s="202">
        <f t="shared" ref="D28:D32" si="2">H9</f>
        <v>354166.8</v>
      </c>
      <c r="E28" s="203">
        <f>'ORÇAMENTO SEM DESONERAÇÃO'!$D28/12</f>
        <v>29513.899999999998</v>
      </c>
      <c r="F28" s="218">
        <f t="shared" ref="F28:J32" si="3">E28</f>
        <v>29513.899999999998</v>
      </c>
      <c r="G28" s="218">
        <f t="shared" si="3"/>
        <v>29513.899999999998</v>
      </c>
      <c r="H28" s="218">
        <f t="shared" si="3"/>
        <v>29513.899999999998</v>
      </c>
      <c r="I28" s="218">
        <f t="shared" si="3"/>
        <v>29513.899999999998</v>
      </c>
      <c r="J28" s="218">
        <f t="shared" si="3"/>
        <v>29513.899999999998</v>
      </c>
    </row>
    <row r="29" spans="1:10" ht="18">
      <c r="A29" s="200">
        <v>3</v>
      </c>
      <c r="B29" s="200" t="str">
        <f>B10</f>
        <v>Capinação e coleta de grama</v>
      </c>
      <c r="C29" s="216" t="str">
        <f t="shared" si="1"/>
        <v>M2</v>
      </c>
      <c r="D29" s="202">
        <f t="shared" si="2"/>
        <v>3166776</v>
      </c>
      <c r="E29" s="203">
        <f>'ORÇAMENTO SEM DESONERAÇÃO'!$D29/12</f>
        <v>263898</v>
      </c>
      <c r="F29" s="218">
        <f t="shared" si="3"/>
        <v>263898</v>
      </c>
      <c r="G29" s="218">
        <f t="shared" si="3"/>
        <v>263898</v>
      </c>
      <c r="H29" s="218">
        <f t="shared" si="3"/>
        <v>263898</v>
      </c>
      <c r="I29" s="218">
        <f t="shared" si="3"/>
        <v>263898</v>
      </c>
      <c r="J29" s="218">
        <f t="shared" si="3"/>
        <v>263898</v>
      </c>
    </row>
    <row r="30" spans="1:10" ht="18">
      <c r="A30" s="200">
        <v>4</v>
      </c>
      <c r="B30" s="200" t="str">
        <f>B11</f>
        <v>Limpeza de Bueiro</v>
      </c>
      <c r="C30" s="216" t="str">
        <f t="shared" si="1"/>
        <v>UND</v>
      </c>
      <c r="D30" s="202">
        <f t="shared" si="2"/>
        <v>233574</v>
      </c>
      <c r="E30" s="203">
        <f>'ORÇAMENTO SEM DESONERAÇÃO'!$D30/12</f>
        <v>19464.5</v>
      </c>
      <c r="F30" s="218">
        <f t="shared" si="3"/>
        <v>19464.5</v>
      </c>
      <c r="G30" s="218">
        <f t="shared" si="3"/>
        <v>19464.5</v>
      </c>
      <c r="H30" s="218">
        <f t="shared" si="3"/>
        <v>19464.5</v>
      </c>
      <c r="I30" s="218">
        <f t="shared" si="3"/>
        <v>19464.5</v>
      </c>
      <c r="J30" s="218">
        <f t="shared" si="3"/>
        <v>19464.5</v>
      </c>
    </row>
    <row r="31" spans="1:10" ht="18">
      <c r="A31" s="200">
        <v>5</v>
      </c>
      <c r="B31" s="200" t="str">
        <f>B21</f>
        <v>Corte, poda de arvore e coleta de entulhos e galhos</v>
      </c>
      <c r="C31" s="216" t="str">
        <f t="shared" si="1"/>
        <v>UND</v>
      </c>
      <c r="D31" s="202">
        <f t="shared" si="2"/>
        <v>764188.8</v>
      </c>
      <c r="E31" s="203">
        <f>'ORÇAMENTO SEM DESONERAÇÃO'!$D31/12</f>
        <v>63682.400000000001</v>
      </c>
      <c r="F31" s="218">
        <f t="shared" si="3"/>
        <v>63682.400000000001</v>
      </c>
      <c r="G31" s="218">
        <f t="shared" si="3"/>
        <v>63682.400000000001</v>
      </c>
      <c r="H31" s="218">
        <f t="shared" si="3"/>
        <v>63682.400000000001</v>
      </c>
      <c r="I31" s="218">
        <f t="shared" si="3"/>
        <v>63682.400000000001</v>
      </c>
      <c r="J31" s="218">
        <f t="shared" si="3"/>
        <v>63682.400000000001</v>
      </c>
    </row>
    <row r="32" spans="1:10" ht="18">
      <c r="A32" s="200">
        <v>6</v>
      </c>
      <c r="B32" s="200" t="str">
        <f>B22</f>
        <v>Reparo em meio-fio</v>
      </c>
      <c r="C32" s="216" t="str">
        <f t="shared" si="1"/>
        <v>m</v>
      </c>
      <c r="D32" s="202">
        <f t="shared" si="2"/>
        <v>579720</v>
      </c>
      <c r="E32" s="203">
        <f>'ORÇAMENTO SEM DESONERAÇÃO'!$D32/12</f>
        <v>48310</v>
      </c>
      <c r="F32" s="218">
        <f t="shared" si="3"/>
        <v>48310</v>
      </c>
      <c r="G32" s="218">
        <f t="shared" si="3"/>
        <v>48310</v>
      </c>
      <c r="H32" s="218">
        <f t="shared" si="3"/>
        <v>48310</v>
      </c>
      <c r="I32" s="218">
        <f t="shared" si="3"/>
        <v>48310</v>
      </c>
      <c r="J32" s="218">
        <f t="shared" si="3"/>
        <v>48310</v>
      </c>
    </row>
    <row r="33" spans="1:10" ht="18">
      <c r="A33" s="184"/>
      <c r="B33" s="185"/>
      <c r="C33" s="186"/>
      <c r="D33" s="187">
        <f>SUM(D27:D32)</f>
        <v>6585225.5999999996</v>
      </c>
      <c r="E33" s="188">
        <f>SUM(E27:E32)</f>
        <v>548768.80000000005</v>
      </c>
      <c r="F33" s="188">
        <f t="shared" ref="F33:J33" si="4">SUM(F27:F32)</f>
        <v>548768.80000000005</v>
      </c>
      <c r="G33" s="188">
        <f t="shared" si="4"/>
        <v>548768.80000000005</v>
      </c>
      <c r="H33" s="188">
        <f t="shared" si="4"/>
        <v>548768.80000000005</v>
      </c>
      <c r="I33" s="188">
        <f t="shared" si="4"/>
        <v>548768.80000000005</v>
      </c>
      <c r="J33" s="188">
        <f t="shared" si="4"/>
        <v>548768.80000000005</v>
      </c>
    </row>
    <row r="34" spans="1:10" ht="18">
      <c r="A34" s="182" t="s">
        <v>0</v>
      </c>
      <c r="B34" s="182" t="s">
        <v>1</v>
      </c>
      <c r="C34" s="182" t="s">
        <v>125</v>
      </c>
      <c r="D34" s="182" t="s">
        <v>78</v>
      </c>
      <c r="E34" s="183" t="s">
        <v>126</v>
      </c>
      <c r="F34" s="183" t="s">
        <v>127</v>
      </c>
      <c r="G34" s="183" t="s">
        <v>128</v>
      </c>
      <c r="H34" s="183" t="s">
        <v>129</v>
      </c>
      <c r="I34" s="183" t="s">
        <v>130</v>
      </c>
      <c r="J34" s="183" t="s">
        <v>131</v>
      </c>
    </row>
    <row r="35" spans="1:10" ht="18">
      <c r="A35" s="200">
        <v>1</v>
      </c>
      <c r="B35" s="200" t="str">
        <f>B27</f>
        <v>Varrição</v>
      </c>
      <c r="C35" s="216" t="str">
        <f>C27</f>
        <v>m</v>
      </c>
      <c r="D35" s="202">
        <f>D27</f>
        <v>1486800</v>
      </c>
      <c r="E35" s="203">
        <f>'ORÇAMENTO SEM DESONERAÇÃO'!$D35/12</f>
        <v>123900</v>
      </c>
      <c r="F35" s="218">
        <f>E35</f>
        <v>123900</v>
      </c>
      <c r="G35" s="218">
        <f>F35</f>
        <v>123900</v>
      </c>
      <c r="H35" s="218">
        <f>G35</f>
        <v>123900</v>
      </c>
      <c r="I35" s="218">
        <f>H35</f>
        <v>123900</v>
      </c>
      <c r="J35" s="218">
        <f>I35</f>
        <v>123900</v>
      </c>
    </row>
    <row r="36" spans="1:10" ht="18">
      <c r="A36" s="200">
        <v>2</v>
      </c>
      <c r="B36" s="200" t="str">
        <f t="shared" ref="B36:D40" si="5">B28</f>
        <v>Pintura de meio-fio</v>
      </c>
      <c r="C36" s="216" t="str">
        <f t="shared" si="5"/>
        <v>m</v>
      </c>
      <c r="D36" s="202">
        <f t="shared" si="5"/>
        <v>354166.8</v>
      </c>
      <c r="E36" s="203">
        <f>'ORÇAMENTO SEM DESONERAÇÃO'!$D36/12</f>
        <v>29513.899999999998</v>
      </c>
      <c r="F36" s="218">
        <f t="shared" ref="F36:J40" si="6">E36</f>
        <v>29513.899999999998</v>
      </c>
      <c r="G36" s="218">
        <f t="shared" si="6"/>
        <v>29513.899999999998</v>
      </c>
      <c r="H36" s="218">
        <f t="shared" si="6"/>
        <v>29513.899999999998</v>
      </c>
      <c r="I36" s="218">
        <f t="shared" si="6"/>
        <v>29513.899999999998</v>
      </c>
      <c r="J36" s="218">
        <f t="shared" si="6"/>
        <v>29513.899999999998</v>
      </c>
    </row>
    <row r="37" spans="1:10" ht="18">
      <c r="A37" s="200">
        <v>3</v>
      </c>
      <c r="B37" s="200" t="str">
        <f t="shared" si="5"/>
        <v>Capinação e coleta de grama</v>
      </c>
      <c r="C37" s="216" t="str">
        <f t="shared" si="5"/>
        <v>M2</v>
      </c>
      <c r="D37" s="202">
        <f t="shared" si="5"/>
        <v>3166776</v>
      </c>
      <c r="E37" s="203">
        <f>'ORÇAMENTO SEM DESONERAÇÃO'!$D37/12</f>
        <v>263898</v>
      </c>
      <c r="F37" s="218">
        <f t="shared" si="6"/>
        <v>263898</v>
      </c>
      <c r="G37" s="218">
        <f t="shared" si="6"/>
        <v>263898</v>
      </c>
      <c r="H37" s="218">
        <f t="shared" si="6"/>
        <v>263898</v>
      </c>
      <c r="I37" s="218">
        <f t="shared" si="6"/>
        <v>263898</v>
      </c>
      <c r="J37" s="218">
        <f t="shared" si="6"/>
        <v>263898</v>
      </c>
    </row>
    <row r="38" spans="1:10" ht="18">
      <c r="A38" s="200">
        <v>4</v>
      </c>
      <c r="B38" s="200" t="str">
        <f t="shared" si="5"/>
        <v>Limpeza de Bueiro</v>
      </c>
      <c r="C38" s="216" t="str">
        <f t="shared" si="5"/>
        <v>UND</v>
      </c>
      <c r="D38" s="202">
        <f t="shared" si="5"/>
        <v>233574</v>
      </c>
      <c r="E38" s="203">
        <f>'ORÇAMENTO SEM DESONERAÇÃO'!$D38/12</f>
        <v>19464.5</v>
      </c>
      <c r="F38" s="218">
        <f t="shared" si="6"/>
        <v>19464.5</v>
      </c>
      <c r="G38" s="218">
        <f t="shared" si="6"/>
        <v>19464.5</v>
      </c>
      <c r="H38" s="218">
        <f t="shared" si="6"/>
        <v>19464.5</v>
      </c>
      <c r="I38" s="218">
        <f t="shared" si="6"/>
        <v>19464.5</v>
      </c>
      <c r="J38" s="218">
        <f t="shared" si="6"/>
        <v>19464.5</v>
      </c>
    </row>
    <row r="39" spans="1:10" ht="18">
      <c r="A39" s="200">
        <v>5</v>
      </c>
      <c r="B39" s="200" t="str">
        <f t="shared" si="5"/>
        <v>Corte, poda de arvore e coleta de entulhos e galhos</v>
      </c>
      <c r="C39" s="216" t="str">
        <f t="shared" si="5"/>
        <v>UND</v>
      </c>
      <c r="D39" s="202">
        <f t="shared" si="5"/>
        <v>764188.8</v>
      </c>
      <c r="E39" s="203">
        <f>'ORÇAMENTO SEM DESONERAÇÃO'!$D39/12</f>
        <v>63682.400000000001</v>
      </c>
      <c r="F39" s="218">
        <f t="shared" si="6"/>
        <v>63682.400000000001</v>
      </c>
      <c r="G39" s="218">
        <f t="shared" si="6"/>
        <v>63682.400000000001</v>
      </c>
      <c r="H39" s="218">
        <f t="shared" si="6"/>
        <v>63682.400000000001</v>
      </c>
      <c r="I39" s="218">
        <f t="shared" si="6"/>
        <v>63682.400000000001</v>
      </c>
      <c r="J39" s="218">
        <f t="shared" si="6"/>
        <v>63682.400000000001</v>
      </c>
    </row>
    <row r="40" spans="1:10" ht="18">
      <c r="A40" s="200">
        <v>6</v>
      </c>
      <c r="B40" s="200" t="str">
        <f t="shared" si="5"/>
        <v>Reparo em meio-fio</v>
      </c>
      <c r="C40" s="216" t="str">
        <f t="shared" si="5"/>
        <v>m</v>
      </c>
      <c r="D40" s="202">
        <f t="shared" si="5"/>
        <v>579720</v>
      </c>
      <c r="E40" s="203">
        <f>'ORÇAMENTO SEM DESONERAÇÃO'!$D40/12</f>
        <v>48310</v>
      </c>
      <c r="F40" s="218">
        <f t="shared" si="6"/>
        <v>48310</v>
      </c>
      <c r="G40" s="218">
        <f t="shared" si="6"/>
        <v>48310</v>
      </c>
      <c r="H40" s="218">
        <f t="shared" si="6"/>
        <v>48310</v>
      </c>
      <c r="I40" s="218">
        <f t="shared" si="6"/>
        <v>48310</v>
      </c>
      <c r="J40" s="218">
        <f t="shared" si="6"/>
        <v>48310</v>
      </c>
    </row>
    <row r="41" spans="1:10" ht="18">
      <c r="A41" s="184"/>
      <c r="B41" s="185"/>
      <c r="C41" s="186"/>
      <c r="D41" s="187">
        <f>SUM(D35:D40)</f>
        <v>6585225.5999999996</v>
      </c>
      <c r="E41" s="188">
        <f>SUM(E35:E40)</f>
        <v>548768.80000000005</v>
      </c>
      <c r="F41" s="188">
        <f t="shared" ref="F41:J41" si="7">SUM(F35:F40)</f>
        <v>548768.80000000005</v>
      </c>
      <c r="G41" s="188">
        <f t="shared" si="7"/>
        <v>548768.80000000005</v>
      </c>
      <c r="H41" s="188">
        <f t="shared" si="7"/>
        <v>548768.80000000005</v>
      </c>
      <c r="I41" s="188">
        <f t="shared" si="7"/>
        <v>548768.80000000005</v>
      </c>
      <c r="J41" s="188">
        <f t="shared" si="7"/>
        <v>548768.80000000005</v>
      </c>
    </row>
  </sheetData>
  <mergeCells count="2">
    <mergeCell ref="A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8D47-93D3-42EE-844F-39BC98AA365C}">
  <sheetPr>
    <pageSetUpPr fitToPage="1"/>
  </sheetPr>
  <dimension ref="A1:F31"/>
  <sheetViews>
    <sheetView zoomScaleNormal="100" workbookViewId="0">
      <selection activeCell="O30" sqref="O30"/>
    </sheetView>
  </sheetViews>
  <sheetFormatPr defaultColWidth="8.85546875" defaultRowHeight="12.75"/>
  <cols>
    <col min="1" max="1" width="14" style="1" customWidth="1"/>
    <col min="2" max="2" width="21.85546875" style="1" customWidth="1"/>
    <col min="3" max="3" width="14" style="1" customWidth="1"/>
    <col min="4" max="4" width="28.5703125" style="1" customWidth="1"/>
    <col min="5" max="5" width="14" style="1" customWidth="1"/>
    <col min="6" max="16384" width="8.85546875" style="1"/>
  </cols>
  <sheetData>
    <row r="1" spans="1:6" ht="44.45" customHeight="1">
      <c r="A1" s="288"/>
      <c r="B1" s="288"/>
      <c r="C1" s="288"/>
      <c r="D1" s="288"/>
      <c r="E1" s="288"/>
      <c r="F1" s="288"/>
    </row>
    <row r="2" spans="1:6">
      <c r="A2" s="289"/>
      <c r="B2" s="289"/>
      <c r="C2" s="289"/>
      <c r="D2" s="289"/>
      <c r="E2" s="289"/>
      <c r="F2" s="289"/>
    </row>
    <row r="3" spans="1:6">
      <c r="A3" s="289"/>
      <c r="B3" s="289"/>
      <c r="C3" s="289"/>
      <c r="D3" s="289"/>
      <c r="E3" s="289"/>
      <c r="F3" s="289"/>
    </row>
    <row r="4" spans="1:6" ht="20.25">
      <c r="A4" s="290" t="s">
        <v>10</v>
      </c>
      <c r="B4" s="290"/>
      <c r="C4" s="290"/>
      <c r="D4" s="290"/>
      <c r="E4" s="290"/>
      <c r="F4" s="290"/>
    </row>
    <row r="5" spans="1:6" ht="12.6" customHeight="1">
      <c r="A5" s="291"/>
      <c r="B5" s="292"/>
      <c r="C5" s="292"/>
      <c r="D5" s="292"/>
      <c r="E5" s="292"/>
      <c r="F5" s="2"/>
    </row>
    <row r="6" spans="1:6" ht="25.5">
      <c r="A6" s="3" t="s">
        <v>11</v>
      </c>
      <c r="B6" s="293" t="s">
        <v>12</v>
      </c>
      <c r="C6" s="294"/>
      <c r="D6" s="294"/>
      <c r="E6" s="294"/>
      <c r="F6" s="295"/>
    </row>
    <row r="7" spans="1:6">
      <c r="A7" s="4"/>
      <c r="B7" s="5"/>
      <c r="C7" s="5"/>
      <c r="D7" s="5"/>
      <c r="E7" s="5"/>
      <c r="F7" s="2"/>
    </row>
    <row r="8" spans="1:6">
      <c r="A8" s="6" t="s">
        <v>13</v>
      </c>
      <c r="B8" s="5"/>
      <c r="C8" s="5"/>
      <c r="D8" s="7"/>
      <c r="E8" s="7"/>
      <c r="F8" s="8"/>
    </row>
    <row r="9" spans="1:6">
      <c r="A9" s="4"/>
      <c r="B9" s="5" t="s">
        <v>14</v>
      </c>
      <c r="C9" s="9">
        <v>3.65</v>
      </c>
      <c r="D9" s="10" t="s">
        <v>15</v>
      </c>
      <c r="E9" s="7"/>
      <c r="F9" s="8"/>
    </row>
    <row r="10" spans="1:6">
      <c r="A10" s="4"/>
      <c r="B10" s="5" t="s">
        <v>16</v>
      </c>
      <c r="C10" s="11">
        <v>2</v>
      </c>
      <c r="D10" s="10" t="s">
        <v>15</v>
      </c>
      <c r="E10" s="7"/>
      <c r="F10" s="8"/>
    </row>
    <row r="11" spans="1:6">
      <c r="A11" s="4"/>
      <c r="B11" s="5" t="s">
        <v>17</v>
      </c>
      <c r="C11" s="12">
        <v>60</v>
      </c>
      <c r="D11" s="10" t="s">
        <v>15</v>
      </c>
      <c r="E11" s="7"/>
      <c r="F11" s="8"/>
    </row>
    <row r="12" spans="1:6">
      <c r="A12" s="4"/>
      <c r="B12" s="5" t="s">
        <v>18</v>
      </c>
      <c r="C12" s="12"/>
      <c r="D12" s="10" t="s">
        <v>15</v>
      </c>
      <c r="E12" s="7"/>
      <c r="F12" s="8"/>
    </row>
    <row r="13" spans="1:6">
      <c r="A13" s="4"/>
      <c r="B13" s="13" t="s">
        <v>19</v>
      </c>
      <c r="C13" s="14">
        <f>C9+C10+C12</f>
        <v>5.65</v>
      </c>
      <c r="D13" s="15" t="s">
        <v>15</v>
      </c>
      <c r="E13" s="16"/>
      <c r="F13" s="8"/>
    </row>
    <row r="14" spans="1:6">
      <c r="A14" s="4"/>
      <c r="B14" s="5"/>
      <c r="C14" s="5"/>
      <c r="D14" s="16"/>
      <c r="E14" s="283" t="s">
        <v>20</v>
      </c>
      <c r="F14" s="8"/>
    </row>
    <row r="15" spans="1:6">
      <c r="A15" s="4"/>
      <c r="B15" s="5"/>
      <c r="C15" s="5"/>
      <c r="D15" s="16"/>
      <c r="E15" s="284"/>
      <c r="F15" s="8"/>
    </row>
    <row r="16" spans="1:6">
      <c r="A16" s="4"/>
      <c r="B16" s="5"/>
      <c r="C16" s="5"/>
      <c r="D16" s="16"/>
      <c r="E16" s="17">
        <v>3.45</v>
      </c>
      <c r="F16" s="8"/>
    </row>
    <row r="17" spans="1:6">
      <c r="A17" s="4"/>
      <c r="B17" s="5"/>
      <c r="C17" s="5"/>
      <c r="D17" s="16"/>
      <c r="E17" s="17">
        <v>0.48</v>
      </c>
      <c r="F17" s="8"/>
    </row>
    <row r="18" spans="1:6">
      <c r="A18" s="4"/>
      <c r="B18" s="5"/>
      <c r="C18" s="5"/>
      <c r="D18" s="16"/>
      <c r="E18" s="17">
        <v>0.85</v>
      </c>
      <c r="F18" s="8"/>
    </row>
    <row r="19" spans="1:6">
      <c r="A19" s="4"/>
      <c r="B19" s="5"/>
      <c r="C19" s="5"/>
      <c r="D19" s="16"/>
      <c r="E19" s="17">
        <v>0.85</v>
      </c>
      <c r="F19" s="8"/>
    </row>
    <row r="20" spans="1:6">
      <c r="A20" s="4"/>
      <c r="B20" s="5"/>
      <c r="C20" s="5"/>
      <c r="D20" s="16"/>
      <c r="E20" s="17">
        <v>3.5</v>
      </c>
      <c r="F20" s="8"/>
    </row>
    <row r="21" spans="1:6">
      <c r="A21" s="4"/>
      <c r="B21" s="5"/>
      <c r="C21" s="5"/>
      <c r="D21" s="16"/>
      <c r="E21" s="16"/>
      <c r="F21" s="8"/>
    </row>
    <row r="22" spans="1:6" ht="17.45" customHeight="1">
      <c r="A22" s="4"/>
      <c r="B22" s="5"/>
      <c r="C22" s="5"/>
      <c r="D22" s="16"/>
      <c r="E22" s="16"/>
      <c r="F22" s="8"/>
    </row>
    <row r="23" spans="1:6">
      <c r="A23" s="285" t="s">
        <v>21</v>
      </c>
      <c r="B23" s="286"/>
      <c r="C23" s="286"/>
      <c r="D23" s="287"/>
      <c r="E23" s="18">
        <f>((((1+(E16+E17+E18)/100))*(1+E19/100)*(1+E20/100))/(1-C13/100))-1</f>
        <v>0.15918497138314791</v>
      </c>
      <c r="F23" s="8"/>
    </row>
    <row r="24" spans="1:6">
      <c r="A24" s="19"/>
      <c r="F24" s="20"/>
    </row>
    <row r="25" spans="1:6">
      <c r="A25" s="19"/>
      <c r="F25" s="20"/>
    </row>
    <row r="26" spans="1:6">
      <c r="A26" s="19"/>
      <c r="F26" s="20"/>
    </row>
    <row r="27" spans="1:6">
      <c r="A27" s="19"/>
      <c r="F27" s="20"/>
    </row>
    <row r="28" spans="1:6">
      <c r="A28" s="19"/>
      <c r="B28" s="1" t="s">
        <v>22</v>
      </c>
      <c r="F28" s="20"/>
    </row>
    <row r="29" spans="1:6">
      <c r="A29" s="21"/>
      <c r="F29" s="20"/>
    </row>
    <row r="30" spans="1:6">
      <c r="A30" s="21"/>
      <c r="F30" s="20"/>
    </row>
    <row r="31" spans="1:6">
      <c r="A31" s="22"/>
      <c r="B31" s="23"/>
      <c r="C31" s="23"/>
      <c r="D31" s="23"/>
      <c r="E31" s="23"/>
      <c r="F31" s="24"/>
    </row>
  </sheetData>
  <mergeCells count="8">
    <mergeCell ref="E14:E15"/>
    <mergeCell ref="A23:D23"/>
    <mergeCell ref="A1:F1"/>
    <mergeCell ref="A2:F2"/>
    <mergeCell ref="A3:F3"/>
    <mergeCell ref="A4:F4"/>
    <mergeCell ref="A5:E5"/>
    <mergeCell ref="B6:F6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differentFirst="1"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C7B6-ACEF-4D35-BE7C-8BB5368E8788}">
  <dimension ref="A4:M29"/>
  <sheetViews>
    <sheetView tabSelected="1" topLeftCell="A19" workbookViewId="0">
      <selection activeCell="C18" sqref="C18"/>
    </sheetView>
  </sheetViews>
  <sheetFormatPr defaultRowHeight="16.5"/>
  <cols>
    <col min="1" max="1" width="6.28515625" style="244" customWidth="1"/>
    <col min="2" max="2" width="32.28515625" style="245" customWidth="1"/>
    <col min="3" max="3" width="9.140625" style="245"/>
    <col min="4" max="4" width="12.85546875" style="245" customWidth="1"/>
    <col min="5" max="5" width="7.85546875" style="245" customWidth="1"/>
    <col min="6" max="11" width="12.28515625" style="245" customWidth="1"/>
    <col min="13" max="13" width="13.28515625" bestFit="1" customWidth="1"/>
  </cols>
  <sheetData>
    <row r="4" spans="1:11" ht="18" customHeight="1"/>
    <row r="5" spans="1:11" ht="10.5" customHeight="1"/>
    <row r="6" spans="1:11" s="251" customFormat="1" ht="63" customHeight="1">
      <c r="A6" s="277" t="s">
        <v>151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1" s="251" customFormat="1" ht="32.25" customHeight="1">
      <c r="A7" s="278" t="s">
        <v>104</v>
      </c>
      <c r="B7" s="278"/>
      <c r="C7" s="278"/>
      <c r="D7" s="278"/>
      <c r="E7" s="246"/>
      <c r="F7" s="247"/>
      <c r="G7" s="247"/>
      <c r="H7" s="247"/>
      <c r="I7" s="247"/>
      <c r="J7" s="247"/>
      <c r="K7" s="247"/>
    </row>
    <row r="8" spans="1:11" s="251" customFormat="1" ht="22.5" customHeight="1">
      <c r="A8" s="246"/>
      <c r="B8" s="246"/>
      <c r="C8" s="246"/>
      <c r="D8" s="246"/>
      <c r="E8" s="246"/>
      <c r="F8" s="247"/>
      <c r="G8" s="247"/>
      <c r="H8" s="247"/>
      <c r="I8" s="247"/>
      <c r="J8" s="247"/>
      <c r="K8" s="247"/>
    </row>
    <row r="9" spans="1:11" ht="20.25">
      <c r="A9" s="279" t="s">
        <v>147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2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2" spans="1:11" s="251" customFormat="1" ht="31.5">
      <c r="A12" s="265" t="s">
        <v>0</v>
      </c>
      <c r="B12" s="265" t="s">
        <v>1</v>
      </c>
      <c r="C12" s="265" t="s">
        <v>9</v>
      </c>
      <c r="D12" s="265" t="s">
        <v>68</v>
      </c>
      <c r="E12" s="265" t="s">
        <v>15</v>
      </c>
      <c r="F12" s="265" t="s">
        <v>101</v>
      </c>
      <c r="G12" s="265" t="s">
        <v>102</v>
      </c>
      <c r="H12" s="265" t="s">
        <v>121</v>
      </c>
      <c r="I12" s="265" t="s">
        <v>122</v>
      </c>
      <c r="J12" s="265" t="s">
        <v>123</v>
      </c>
      <c r="K12" s="266" t="s">
        <v>124</v>
      </c>
    </row>
    <row r="13" spans="1:11" s="251" customFormat="1" ht="28.5" customHeight="1">
      <c r="A13" s="267">
        <v>1</v>
      </c>
      <c r="B13" s="248" t="s">
        <v>140</v>
      </c>
      <c r="C13" s="268" t="s">
        <v>141</v>
      </c>
      <c r="D13" s="269">
        <v>1562400</v>
      </c>
      <c r="E13" s="269">
        <v>100</v>
      </c>
      <c r="F13" s="269">
        <v>130200</v>
      </c>
      <c r="G13" s="269">
        <v>130200</v>
      </c>
      <c r="H13" s="269">
        <v>130200</v>
      </c>
      <c r="I13" s="269">
        <v>130200</v>
      </c>
      <c r="J13" s="269">
        <v>130200</v>
      </c>
      <c r="K13" s="269">
        <v>130200</v>
      </c>
    </row>
    <row r="14" spans="1:11" s="251" customFormat="1" ht="28.5" customHeight="1">
      <c r="A14" s="267">
        <v>2</v>
      </c>
      <c r="B14" s="248" t="s">
        <v>142</v>
      </c>
      <c r="C14" s="268" t="s">
        <v>141</v>
      </c>
      <c r="D14" s="269">
        <v>368721.6</v>
      </c>
      <c r="E14" s="269">
        <v>100</v>
      </c>
      <c r="F14" s="269">
        <v>30726.799999999999</v>
      </c>
      <c r="G14" s="269">
        <v>30726.799999999999</v>
      </c>
      <c r="H14" s="269">
        <v>30726.799999999999</v>
      </c>
      <c r="I14" s="269">
        <v>30726.799999999999</v>
      </c>
      <c r="J14" s="269">
        <v>30726.799999999999</v>
      </c>
      <c r="K14" s="269">
        <v>30726.799999999999</v>
      </c>
    </row>
    <row r="15" spans="1:11" s="251" customFormat="1" ht="28.5" customHeight="1">
      <c r="A15" s="267">
        <v>3</v>
      </c>
      <c r="B15" s="248" t="s">
        <v>143</v>
      </c>
      <c r="C15" s="268" t="s">
        <v>37</v>
      </c>
      <c r="D15" s="269">
        <v>3341736</v>
      </c>
      <c r="E15" s="269">
        <v>100</v>
      </c>
      <c r="F15" s="269">
        <v>278478</v>
      </c>
      <c r="G15" s="269">
        <v>278478</v>
      </c>
      <c r="H15" s="269">
        <v>278478</v>
      </c>
      <c r="I15" s="269">
        <v>278478</v>
      </c>
      <c r="J15" s="269">
        <v>278478</v>
      </c>
      <c r="K15" s="269">
        <v>278478</v>
      </c>
    </row>
    <row r="16" spans="1:11" s="251" customFormat="1" ht="28.5" customHeight="1">
      <c r="A16" s="267">
        <v>4</v>
      </c>
      <c r="B16" s="248" t="s">
        <v>144</v>
      </c>
      <c r="C16" s="268" t="s">
        <v>32</v>
      </c>
      <c r="D16" s="269">
        <v>245262</v>
      </c>
      <c r="E16" s="269">
        <v>100</v>
      </c>
      <c r="F16" s="269">
        <v>20438.5</v>
      </c>
      <c r="G16" s="269">
        <v>20438.5</v>
      </c>
      <c r="H16" s="269">
        <v>20438.5</v>
      </c>
      <c r="I16" s="269">
        <v>20438.5</v>
      </c>
      <c r="J16" s="269">
        <v>20438.5</v>
      </c>
      <c r="K16" s="269">
        <v>20438.5</v>
      </c>
    </row>
    <row r="17" spans="1:13" s="251" customFormat="1" ht="28.5" customHeight="1">
      <c r="A17" s="267">
        <v>5</v>
      </c>
      <c r="B17" s="248" t="s">
        <v>145</v>
      </c>
      <c r="C17" s="268" t="s">
        <v>32</v>
      </c>
      <c r="D17" s="269">
        <v>802425.60000000009</v>
      </c>
      <c r="E17" s="269">
        <v>100</v>
      </c>
      <c r="F17" s="269">
        <v>66868.800000000003</v>
      </c>
      <c r="G17" s="269">
        <v>66868.800000000003</v>
      </c>
      <c r="H17" s="269">
        <v>66868.800000000003</v>
      </c>
      <c r="I17" s="269">
        <v>66868.800000000003</v>
      </c>
      <c r="J17" s="269">
        <v>66868.800000000003</v>
      </c>
      <c r="K17" s="269">
        <v>66868.800000000003</v>
      </c>
    </row>
    <row r="18" spans="1:13" s="251" customFormat="1" ht="28.5" customHeight="1">
      <c r="A18" s="267">
        <v>6</v>
      </c>
      <c r="B18" s="248" t="s">
        <v>146</v>
      </c>
      <c r="C18" s="268" t="s">
        <v>141</v>
      </c>
      <c r="D18" s="269">
        <v>608760</v>
      </c>
      <c r="E18" s="269">
        <v>100</v>
      </c>
      <c r="F18" s="269">
        <v>50730</v>
      </c>
      <c r="G18" s="269">
        <v>50730</v>
      </c>
      <c r="H18" s="269">
        <v>50730</v>
      </c>
      <c r="I18" s="269">
        <v>50730</v>
      </c>
      <c r="J18" s="269">
        <v>50730</v>
      </c>
      <c r="K18" s="269">
        <v>50730</v>
      </c>
      <c r="M18" s="270"/>
    </row>
    <row r="19" spans="1:13" s="251" customFormat="1" ht="28.5" customHeight="1">
      <c r="A19" s="271"/>
      <c r="B19" s="272"/>
      <c r="C19" s="271"/>
      <c r="D19" s="273">
        <f>SUM(D13:D18)</f>
        <v>6929305.1999999993</v>
      </c>
      <c r="E19" s="273"/>
      <c r="F19" s="273">
        <f t="shared" ref="F19:K19" si="0">SUM(F13:F18)</f>
        <v>577442.1</v>
      </c>
      <c r="G19" s="273">
        <f t="shared" si="0"/>
        <v>577442.1</v>
      </c>
      <c r="H19" s="273">
        <f t="shared" si="0"/>
        <v>577442.1</v>
      </c>
      <c r="I19" s="273">
        <f t="shared" si="0"/>
        <v>577442.1</v>
      </c>
      <c r="J19" s="273">
        <f t="shared" si="0"/>
        <v>577442.1</v>
      </c>
      <c r="K19" s="273">
        <f t="shared" si="0"/>
        <v>577442.1</v>
      </c>
      <c r="M19" s="270"/>
    </row>
    <row r="20" spans="1:13" s="251" customFormat="1" ht="34.5" customHeight="1">
      <c r="A20" s="265" t="s">
        <v>0</v>
      </c>
      <c r="B20" s="265" t="s">
        <v>1</v>
      </c>
      <c r="C20" s="265" t="s">
        <v>9</v>
      </c>
      <c r="D20" s="265" t="s">
        <v>68</v>
      </c>
      <c r="E20" s="265" t="s">
        <v>15</v>
      </c>
      <c r="F20" s="265" t="s">
        <v>126</v>
      </c>
      <c r="G20" s="265" t="s">
        <v>127</v>
      </c>
      <c r="H20" s="265" t="s">
        <v>128</v>
      </c>
      <c r="I20" s="265" t="s">
        <v>129</v>
      </c>
      <c r="J20" s="265" t="s">
        <v>130</v>
      </c>
      <c r="K20" s="266" t="s">
        <v>131</v>
      </c>
      <c r="M20" s="270"/>
    </row>
    <row r="21" spans="1:13" s="251" customFormat="1" ht="34.5" customHeight="1">
      <c r="A21" s="267">
        <v>1</v>
      </c>
      <c r="B21" s="248" t="s">
        <v>140</v>
      </c>
      <c r="C21" s="268" t="s">
        <v>141</v>
      </c>
      <c r="D21" s="269">
        <v>1562400</v>
      </c>
      <c r="E21" s="269">
        <v>100</v>
      </c>
      <c r="F21" s="269">
        <v>130200</v>
      </c>
      <c r="G21" s="269">
        <v>130200</v>
      </c>
      <c r="H21" s="269">
        <v>130200</v>
      </c>
      <c r="I21" s="269">
        <v>130200</v>
      </c>
      <c r="J21" s="269">
        <v>130200</v>
      </c>
      <c r="K21" s="269">
        <v>130200</v>
      </c>
    </row>
    <row r="22" spans="1:13" s="251" customFormat="1" ht="34.5" customHeight="1">
      <c r="A22" s="267">
        <v>2</v>
      </c>
      <c r="B22" s="248" t="s">
        <v>142</v>
      </c>
      <c r="C22" s="268" t="s">
        <v>141</v>
      </c>
      <c r="D22" s="269">
        <v>368721.6</v>
      </c>
      <c r="E22" s="269">
        <v>100</v>
      </c>
      <c r="F22" s="269">
        <v>30726.799999999999</v>
      </c>
      <c r="G22" s="269">
        <v>30726.799999999999</v>
      </c>
      <c r="H22" s="269">
        <v>30726.799999999999</v>
      </c>
      <c r="I22" s="269">
        <v>30726.799999999999</v>
      </c>
      <c r="J22" s="269">
        <v>30726.799999999999</v>
      </c>
      <c r="K22" s="269">
        <v>30726.799999999999</v>
      </c>
    </row>
    <row r="23" spans="1:13" s="251" customFormat="1" ht="34.5" customHeight="1">
      <c r="A23" s="267">
        <v>3</v>
      </c>
      <c r="B23" s="248" t="s">
        <v>143</v>
      </c>
      <c r="C23" s="268" t="s">
        <v>37</v>
      </c>
      <c r="D23" s="269">
        <v>3341736</v>
      </c>
      <c r="E23" s="269">
        <v>100</v>
      </c>
      <c r="F23" s="269">
        <v>278478</v>
      </c>
      <c r="G23" s="269">
        <v>278478</v>
      </c>
      <c r="H23" s="269">
        <v>278478</v>
      </c>
      <c r="I23" s="269">
        <v>278478</v>
      </c>
      <c r="J23" s="269">
        <v>278478</v>
      </c>
      <c r="K23" s="269">
        <v>278478</v>
      </c>
    </row>
    <row r="24" spans="1:13" s="251" customFormat="1" ht="34.5" customHeight="1">
      <c r="A24" s="267">
        <v>4</v>
      </c>
      <c r="B24" s="248" t="s">
        <v>144</v>
      </c>
      <c r="C24" s="268" t="s">
        <v>32</v>
      </c>
      <c r="D24" s="269">
        <v>245262</v>
      </c>
      <c r="E24" s="269">
        <v>100</v>
      </c>
      <c r="F24" s="269">
        <v>20438.5</v>
      </c>
      <c r="G24" s="269">
        <v>20438.5</v>
      </c>
      <c r="H24" s="269">
        <v>20438.5</v>
      </c>
      <c r="I24" s="269">
        <v>20438.5</v>
      </c>
      <c r="J24" s="269">
        <v>20438.5</v>
      </c>
      <c r="K24" s="269">
        <v>20438.5</v>
      </c>
    </row>
    <row r="25" spans="1:13" s="251" customFormat="1" ht="34.5" customHeight="1">
      <c r="A25" s="267">
        <v>5</v>
      </c>
      <c r="B25" s="248" t="s">
        <v>145</v>
      </c>
      <c r="C25" s="268" t="s">
        <v>32</v>
      </c>
      <c r="D25" s="269">
        <v>802425.60000000009</v>
      </c>
      <c r="E25" s="269">
        <v>100</v>
      </c>
      <c r="F25" s="269">
        <v>66868.800000000003</v>
      </c>
      <c r="G25" s="269">
        <v>66868.800000000003</v>
      </c>
      <c r="H25" s="269">
        <v>66868.800000000003</v>
      </c>
      <c r="I25" s="269">
        <v>66868.800000000003</v>
      </c>
      <c r="J25" s="269">
        <v>66868.800000000003</v>
      </c>
      <c r="K25" s="269">
        <v>66868.800000000003</v>
      </c>
    </row>
    <row r="26" spans="1:13" s="251" customFormat="1" ht="34.5" customHeight="1">
      <c r="A26" s="267">
        <v>6</v>
      </c>
      <c r="B26" s="248" t="s">
        <v>146</v>
      </c>
      <c r="C26" s="268" t="s">
        <v>141</v>
      </c>
      <c r="D26" s="269">
        <v>608760</v>
      </c>
      <c r="E26" s="269">
        <v>100</v>
      </c>
      <c r="F26" s="269">
        <v>50730</v>
      </c>
      <c r="G26" s="269">
        <v>50730</v>
      </c>
      <c r="H26" s="269">
        <v>50730</v>
      </c>
      <c r="I26" s="269">
        <v>50730</v>
      </c>
      <c r="J26" s="269">
        <v>50730</v>
      </c>
      <c r="K26" s="269">
        <v>50730</v>
      </c>
    </row>
    <row r="27" spans="1:13" s="251" customFormat="1" ht="34.5" customHeight="1">
      <c r="A27" s="271"/>
      <c r="B27" s="272"/>
      <c r="C27" s="271"/>
      <c r="D27" s="273">
        <f>SUM(D21:D26)</f>
        <v>6929305.1999999993</v>
      </c>
      <c r="E27" s="273"/>
      <c r="F27" s="273">
        <f t="shared" ref="F27:K27" si="1">SUM(F21:F26)</f>
        <v>577442.1</v>
      </c>
      <c r="G27" s="273">
        <f t="shared" si="1"/>
        <v>577442.1</v>
      </c>
      <c r="H27" s="273">
        <f t="shared" si="1"/>
        <v>577442.1</v>
      </c>
      <c r="I27" s="273">
        <f t="shared" si="1"/>
        <v>577442.1</v>
      </c>
      <c r="J27" s="273">
        <f t="shared" si="1"/>
        <v>577442.1</v>
      </c>
      <c r="K27" s="273">
        <f t="shared" si="1"/>
        <v>577442.1</v>
      </c>
    </row>
    <row r="29" spans="1:13">
      <c r="K29" s="249"/>
    </row>
  </sheetData>
  <mergeCells count="3">
    <mergeCell ref="A6:K6"/>
    <mergeCell ref="A7:D7"/>
    <mergeCell ref="A9:K9"/>
  </mergeCells>
  <pageMargins left="0.31496062992125984" right="0.11811023622047245" top="0.78740157480314965" bottom="0.78740157480314965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4F45-8B71-41B3-82AC-90AE21825632}">
  <dimension ref="A2:S41"/>
  <sheetViews>
    <sheetView zoomScale="70" zoomScaleNormal="70" workbookViewId="0">
      <selection activeCell="F2" sqref="F2:G2"/>
    </sheetView>
  </sheetViews>
  <sheetFormatPr defaultRowHeight="15"/>
  <cols>
    <col min="2" max="2" width="58.5703125" customWidth="1"/>
    <col min="3" max="3" width="12.140625" customWidth="1"/>
    <col min="4" max="4" width="20.140625" bestFit="1" customWidth="1"/>
    <col min="5" max="5" width="21.7109375" customWidth="1"/>
    <col min="6" max="6" width="22.85546875" customWidth="1"/>
    <col min="7" max="7" width="22.42578125" customWidth="1"/>
    <col min="8" max="8" width="22.28515625" customWidth="1"/>
    <col min="9" max="9" width="23.5703125" customWidth="1"/>
    <col min="10" max="10" width="21.5703125" customWidth="1"/>
    <col min="11" max="12" width="17.140625" style="226" customWidth="1"/>
    <col min="13" max="13" width="30.7109375" customWidth="1"/>
    <col min="14" max="14" width="16.7109375" customWidth="1"/>
    <col min="16" max="16" width="18.85546875" customWidth="1"/>
    <col min="18" max="18" width="17.5703125" customWidth="1"/>
  </cols>
  <sheetData>
    <row r="2" spans="1:19" ht="62.25" customHeight="1">
      <c r="A2" s="280" t="s">
        <v>105</v>
      </c>
      <c r="B2" s="281"/>
      <c r="C2" s="281"/>
      <c r="D2" s="281"/>
      <c r="E2" s="281"/>
      <c r="F2" s="282" t="s">
        <v>107</v>
      </c>
      <c r="G2" s="282"/>
      <c r="H2" s="26"/>
    </row>
    <row r="3" spans="1:19">
      <c r="A3" s="101" t="s">
        <v>104</v>
      </c>
      <c r="B3" s="102"/>
      <c r="C3" s="102"/>
      <c r="D3" s="102"/>
      <c r="F3" s="105"/>
      <c r="G3" s="106"/>
      <c r="H3" s="96"/>
    </row>
    <row r="4" spans="1:19" ht="27.75" customHeight="1">
      <c r="A4" s="101"/>
      <c r="B4" s="102"/>
      <c r="C4" s="102"/>
      <c r="D4" s="102"/>
      <c r="F4" s="105" t="s">
        <v>92</v>
      </c>
      <c r="G4" s="107"/>
      <c r="H4" s="96"/>
    </row>
    <row r="5" spans="1:19" ht="29.25" customHeight="1">
      <c r="A5" s="101"/>
      <c r="B5" s="102"/>
      <c r="C5" s="102"/>
      <c r="D5" s="102"/>
      <c r="F5" s="108" t="s">
        <v>69</v>
      </c>
      <c r="G5" s="108"/>
      <c r="H5" s="96"/>
    </row>
    <row r="6" spans="1:19">
      <c r="A6" s="103"/>
      <c r="B6" s="104"/>
      <c r="C6" s="104"/>
      <c r="D6" s="104"/>
      <c r="E6" s="104"/>
      <c r="F6" s="104"/>
      <c r="G6" s="104"/>
      <c r="H6" s="97"/>
    </row>
    <row r="7" spans="1:19" ht="36">
      <c r="A7" s="180" t="s">
        <v>0</v>
      </c>
      <c r="B7" s="180" t="s">
        <v>1</v>
      </c>
      <c r="C7" s="180" t="s">
        <v>9</v>
      </c>
      <c r="D7" s="180" t="s">
        <v>67</v>
      </c>
      <c r="E7" s="181" t="s">
        <v>70</v>
      </c>
      <c r="F7" s="181" t="s">
        <v>132</v>
      </c>
      <c r="G7" s="181" t="s">
        <v>72</v>
      </c>
      <c r="H7" s="181" t="s">
        <v>68</v>
      </c>
    </row>
    <row r="8" spans="1:19" ht="18">
      <c r="A8" s="200">
        <v>1</v>
      </c>
      <c r="B8" s="200" t="s">
        <v>73</v>
      </c>
      <c r="C8" s="201" t="str">
        <f>varrição!D42</f>
        <v>m</v>
      </c>
      <c r="D8" s="202">
        <v>210000</v>
      </c>
      <c r="E8" s="203">
        <v>0.51</v>
      </c>
      <c r="F8" s="203">
        <f>TRUNC('ORÇAMENTO DESONERADO'!$E8*1.2172,2)</f>
        <v>0.62</v>
      </c>
      <c r="G8" s="234">
        <f>TRUNC('ORÇAMENTO DESONERADO'!$F8*'ORÇAMENTO DESONERADO'!$D8,2)</f>
        <v>130200</v>
      </c>
      <c r="H8" s="234">
        <f>TRUNC('ORÇAMENTO DESONERADO'!$G8*12,2)</f>
        <v>1562400</v>
      </c>
      <c r="I8" s="226">
        <f>D8*F8*12</f>
        <v>1562400</v>
      </c>
      <c r="J8" s="226">
        <v>1303506</v>
      </c>
      <c r="L8" s="226">
        <f>D8*12</f>
        <v>2520000</v>
      </c>
      <c r="M8">
        <v>1.17</v>
      </c>
      <c r="N8" s="227">
        <v>2.4900000000000002</v>
      </c>
      <c r="P8" s="228">
        <v>35850</v>
      </c>
      <c r="R8">
        <v>3.0308280000000005</v>
      </c>
      <c r="S8">
        <v>3.03</v>
      </c>
    </row>
    <row r="9" spans="1:19" ht="18">
      <c r="A9" s="200">
        <v>2</v>
      </c>
      <c r="B9" s="200" t="s">
        <v>74</v>
      </c>
      <c r="C9" s="201" t="str">
        <f>caiação!D38</f>
        <v>m</v>
      </c>
      <c r="D9" s="202">
        <v>40430</v>
      </c>
      <c r="E9" s="203">
        <v>0.63</v>
      </c>
      <c r="F9" s="203">
        <f>TRUNC('ORÇAMENTO DESONERADO'!$E9*1.2172,2)</f>
        <v>0.76</v>
      </c>
      <c r="G9" s="234">
        <f>TRUNC('ORÇAMENTO DESONERADO'!$F9*'ORÇAMENTO DESONERADO'!$D9,2)</f>
        <v>30726.799999999999</v>
      </c>
      <c r="H9" s="234">
        <f>TRUNC('ORÇAMENTO DESONERADO'!$G9*12,2)</f>
        <v>368721.6</v>
      </c>
      <c r="I9" s="226"/>
      <c r="J9" s="226">
        <v>946081.42</v>
      </c>
      <c r="L9" s="226">
        <f t="shared" ref="L9:L14" si="0">D9*12</f>
        <v>485160</v>
      </c>
      <c r="N9" s="227">
        <v>1.6059175950120574</v>
      </c>
      <c r="P9" s="228">
        <v>40430.83</v>
      </c>
      <c r="R9">
        <v>1.9596920000000002</v>
      </c>
      <c r="S9">
        <v>1.95</v>
      </c>
    </row>
    <row r="10" spans="1:19" ht="18">
      <c r="A10" s="200">
        <v>3</v>
      </c>
      <c r="B10" s="200" t="s">
        <v>76</v>
      </c>
      <c r="C10" s="201" t="str">
        <f>roçada!C42</f>
        <v>M2</v>
      </c>
      <c r="D10" s="202">
        <v>145800</v>
      </c>
      <c r="E10" s="203">
        <v>1.57</v>
      </c>
      <c r="F10" s="203">
        <f>TRUNC('ORÇAMENTO DESONERADO'!$E10*1.2172,2)</f>
        <v>1.91</v>
      </c>
      <c r="G10" s="234">
        <f>TRUNC('ORÇAMENTO DESONERADO'!$F10*'ORÇAMENTO DESONERADO'!$D10,2)</f>
        <v>278478</v>
      </c>
      <c r="H10" s="234">
        <f>TRUNC('ORÇAMENTO DESONERADO'!$G10*12,2)</f>
        <v>3341736</v>
      </c>
      <c r="I10" s="226"/>
      <c r="J10" s="226">
        <v>1290144.96</v>
      </c>
      <c r="L10" s="226">
        <f t="shared" si="0"/>
        <v>1749600</v>
      </c>
      <c r="M10" s="230">
        <v>1.5700927840689156</v>
      </c>
      <c r="N10" s="227">
        <v>0.83799232008272928</v>
      </c>
      <c r="P10" s="228">
        <v>105404</v>
      </c>
      <c r="R10">
        <v>1.022448</v>
      </c>
      <c r="S10">
        <v>1.02</v>
      </c>
    </row>
    <row r="11" spans="1:19" ht="18">
      <c r="A11" s="200">
        <v>4</v>
      </c>
      <c r="B11" s="200" t="s">
        <v>83</v>
      </c>
      <c r="C11" s="201" t="str">
        <f>bueiro!C40</f>
        <v>UND</v>
      </c>
      <c r="D11" s="202">
        <f>bueiro!D40</f>
        <v>50</v>
      </c>
      <c r="E11" s="203">
        <v>335.83</v>
      </c>
      <c r="F11" s="203">
        <f>TRUNC('ORÇAMENTO DESONERADO'!$E11*1.2172,2)</f>
        <v>408.77</v>
      </c>
      <c r="G11" s="234">
        <f>TRUNC('ORÇAMENTO DESONERADO'!$F11*'ORÇAMENTO DESONERADO'!$D11,2)</f>
        <v>20438.5</v>
      </c>
      <c r="H11" s="234">
        <f>TRUNC('ORÇAMENTO DESONERADO'!$G11*12,2)</f>
        <v>245262</v>
      </c>
      <c r="I11" s="226"/>
      <c r="J11" s="226">
        <v>485544</v>
      </c>
      <c r="L11" s="226">
        <f t="shared" si="0"/>
        <v>600</v>
      </c>
      <c r="M11">
        <v>533.96480996000003</v>
      </c>
      <c r="N11" s="227">
        <v>664.84060996000005</v>
      </c>
      <c r="P11" s="228">
        <v>50</v>
      </c>
      <c r="R11">
        <v>809.24324800000011</v>
      </c>
      <c r="S11">
        <v>809.24</v>
      </c>
    </row>
    <row r="12" spans="1:19" ht="18">
      <c r="A12" s="200">
        <v>5</v>
      </c>
      <c r="B12" s="200" t="s">
        <v>75</v>
      </c>
      <c r="C12" s="201" t="str">
        <f>[2]poda!C43</f>
        <v>UND</v>
      </c>
      <c r="D12" s="202">
        <f>PODA!D42</f>
        <v>80</v>
      </c>
      <c r="E12" s="203">
        <v>686.71</v>
      </c>
      <c r="F12" s="203">
        <f>TRUNC('ORÇAMENTO DESONERADO'!$E12*1.2172,2)</f>
        <v>835.86</v>
      </c>
      <c r="G12" s="234">
        <f>TRUNC('ORÇAMENTO DESONERADO'!$F12*'ORÇAMENTO DESONERADO'!$D12,2)</f>
        <v>66868.800000000003</v>
      </c>
      <c r="H12" s="234">
        <f>TRUNC('ORÇAMENTO DESONERADO'!$G12*12,2)</f>
        <v>802425.6</v>
      </c>
      <c r="I12" s="226"/>
      <c r="J12" s="226">
        <v>846966.33</v>
      </c>
      <c r="L12" s="226">
        <f t="shared" si="0"/>
        <v>960</v>
      </c>
      <c r="M12">
        <v>686.70933026250009</v>
      </c>
      <c r="N12" s="227">
        <v>724.82467401249994</v>
      </c>
      <c r="P12" s="228">
        <v>80</v>
      </c>
      <c r="R12">
        <v>882.25090400000011</v>
      </c>
      <c r="S12">
        <v>882.25</v>
      </c>
    </row>
    <row r="13" spans="1:19" ht="18">
      <c r="A13" s="219">
        <v>6</v>
      </c>
      <c r="B13" s="220" t="s">
        <v>103</v>
      </c>
      <c r="C13" s="201" t="s">
        <v>85</v>
      </c>
      <c r="D13" s="202">
        <f>'reparo meio fio'!E45</f>
        <v>1000</v>
      </c>
      <c r="E13" s="203">
        <v>41.68</v>
      </c>
      <c r="F13" s="203">
        <f>TRUNC('ORÇAMENTO DESONERADO'!$E13*1.2172,2)</f>
        <v>50.73</v>
      </c>
      <c r="G13" s="234">
        <f>TRUNC('ORÇAMENTO DESONERADO'!$F13*'ORÇAMENTO DESONERADO'!$D13,2)</f>
        <v>50730</v>
      </c>
      <c r="H13" s="234">
        <f>TRUNC('ORÇAMENTO DESONERADO'!$G13*12,2)</f>
        <v>608760</v>
      </c>
      <c r="I13" s="226"/>
      <c r="J13" s="226">
        <v>1187640</v>
      </c>
      <c r="L13" s="226">
        <f t="shared" si="0"/>
        <v>12000</v>
      </c>
      <c r="N13" s="227">
        <v>81.308722813000003</v>
      </c>
      <c r="P13" s="228">
        <v>1000</v>
      </c>
      <c r="R13">
        <v>98.970532000000006</v>
      </c>
      <c r="S13">
        <v>98.97</v>
      </c>
    </row>
    <row r="14" spans="1:19" ht="18">
      <c r="A14" s="204"/>
      <c r="B14" s="205"/>
      <c r="C14" s="206"/>
      <c r="D14" s="207"/>
      <c r="E14" s="208"/>
      <c r="F14" s="209" t="s">
        <v>77</v>
      </c>
      <c r="G14" s="235">
        <f>SUM(G8:G13)</f>
        <v>577442.1</v>
      </c>
      <c r="H14" s="235">
        <f>SUM(H8:H13)</f>
        <v>6929305.1999999993</v>
      </c>
      <c r="I14" s="226"/>
      <c r="J14" s="226">
        <v>6059882.71</v>
      </c>
      <c r="L14" s="226">
        <f t="shared" si="0"/>
        <v>0</v>
      </c>
    </row>
    <row r="16" spans="1:19" ht="36">
      <c r="A16" s="182" t="s">
        <v>0</v>
      </c>
      <c r="B16" s="182" t="s">
        <v>1</v>
      </c>
      <c r="C16" s="182" t="s">
        <v>9</v>
      </c>
      <c r="D16" s="183" t="s">
        <v>139</v>
      </c>
      <c r="E16" s="183" t="s">
        <v>70</v>
      </c>
      <c r="F16" s="183" t="s">
        <v>71</v>
      </c>
      <c r="G16" s="183" t="s">
        <v>72</v>
      </c>
      <c r="H16" s="183" t="s">
        <v>68</v>
      </c>
      <c r="J16" s="229">
        <f>H14-J14</f>
        <v>869422.48999999929</v>
      </c>
    </row>
    <row r="17" spans="1:13" ht="18">
      <c r="A17" s="200">
        <v>1</v>
      </c>
      <c r="B17" s="200" t="str">
        <f t="shared" ref="B17:C21" si="1">B8</f>
        <v>Varrição</v>
      </c>
      <c r="C17" s="201" t="str">
        <f t="shared" si="1"/>
        <v>m</v>
      </c>
      <c r="D17" s="236">
        <f>D8*12</f>
        <v>2520000</v>
      </c>
      <c r="E17" s="203"/>
      <c r="F17" s="234"/>
      <c r="G17" s="203"/>
      <c r="H17" s="203"/>
    </row>
    <row r="18" spans="1:13" ht="18">
      <c r="A18" s="200">
        <v>2</v>
      </c>
      <c r="B18" s="200" t="str">
        <f t="shared" si="1"/>
        <v>Pintura de meio-fio</v>
      </c>
      <c r="C18" s="201" t="str">
        <f t="shared" si="1"/>
        <v>m</v>
      </c>
      <c r="D18" s="236">
        <f t="shared" ref="D18:D22" si="2">D9*12</f>
        <v>485160</v>
      </c>
      <c r="E18" s="203"/>
      <c r="F18" s="234"/>
      <c r="G18" s="203"/>
      <c r="H18" s="203"/>
    </row>
    <row r="19" spans="1:13" ht="18">
      <c r="A19" s="200">
        <v>3</v>
      </c>
      <c r="B19" s="200" t="str">
        <f t="shared" si="1"/>
        <v>Capinação e coleta de grama</v>
      </c>
      <c r="C19" s="201" t="str">
        <f t="shared" si="1"/>
        <v>M2</v>
      </c>
      <c r="D19" s="236">
        <f>D10*12</f>
        <v>1749600</v>
      </c>
      <c r="E19" s="203"/>
      <c r="F19" s="234"/>
      <c r="G19" s="203"/>
      <c r="H19" s="203"/>
    </row>
    <row r="20" spans="1:13" ht="18">
      <c r="A20" s="200">
        <v>4</v>
      </c>
      <c r="B20" s="200" t="str">
        <f t="shared" si="1"/>
        <v>Limpeza de Bueiro</v>
      </c>
      <c r="C20" s="201" t="str">
        <f t="shared" si="1"/>
        <v>UND</v>
      </c>
      <c r="D20" s="236">
        <f t="shared" si="2"/>
        <v>600</v>
      </c>
      <c r="E20" s="203"/>
      <c r="F20" s="234"/>
      <c r="G20" s="203"/>
      <c r="H20" s="203"/>
    </row>
    <row r="21" spans="1:13" ht="18">
      <c r="A21" s="200">
        <v>5</v>
      </c>
      <c r="B21" s="200" t="str">
        <f t="shared" si="1"/>
        <v>Corte, poda de arvore e coleta de entulhos e galhos</v>
      </c>
      <c r="C21" s="201" t="str">
        <f t="shared" si="1"/>
        <v>UND</v>
      </c>
      <c r="D21" s="236">
        <f t="shared" si="2"/>
        <v>960</v>
      </c>
      <c r="E21" s="203"/>
      <c r="F21" s="234"/>
      <c r="G21" s="203"/>
      <c r="H21" s="203"/>
      <c r="M21" s="210">
        <f>SUM(M15:M20)</f>
        <v>0</v>
      </c>
    </row>
    <row r="22" spans="1:13" ht="18">
      <c r="A22" s="200">
        <v>6</v>
      </c>
      <c r="B22" s="200" t="s">
        <v>103</v>
      </c>
      <c r="C22" s="201" t="s">
        <v>85</v>
      </c>
      <c r="D22" s="236">
        <f t="shared" si="2"/>
        <v>12000</v>
      </c>
      <c r="E22" s="203"/>
      <c r="F22" s="234"/>
      <c r="G22" s="203"/>
      <c r="H22" s="203"/>
    </row>
    <row r="23" spans="1:13" ht="18">
      <c r="A23" s="211"/>
      <c r="B23" s="211"/>
      <c r="C23" s="212"/>
      <c r="D23" s="213"/>
      <c r="E23" s="214"/>
      <c r="F23" s="215" t="s">
        <v>77</v>
      </c>
      <c r="G23" s="211"/>
      <c r="H23" s="211"/>
    </row>
    <row r="26" spans="1:13" ht="18">
      <c r="A26" s="182" t="s">
        <v>0</v>
      </c>
      <c r="B26" s="182" t="s">
        <v>1</v>
      </c>
      <c r="C26" s="182" t="s">
        <v>125</v>
      </c>
      <c r="D26" s="182" t="s">
        <v>78</v>
      </c>
      <c r="E26" s="183" t="s">
        <v>101</v>
      </c>
      <c r="F26" s="183" t="s">
        <v>102</v>
      </c>
      <c r="G26" s="183" t="s">
        <v>121</v>
      </c>
      <c r="H26" s="183" t="s">
        <v>122</v>
      </c>
      <c r="I26" s="183" t="s">
        <v>123</v>
      </c>
      <c r="J26" s="183" t="s">
        <v>124</v>
      </c>
    </row>
    <row r="27" spans="1:13" ht="18">
      <c r="A27" s="200">
        <v>1</v>
      </c>
      <c r="B27" s="200" t="str">
        <f>B17</f>
        <v>Varrição</v>
      </c>
      <c r="C27" s="216" t="str">
        <f>C17</f>
        <v>m</v>
      </c>
      <c r="D27" s="236">
        <f>H8</f>
        <v>1562400</v>
      </c>
      <c r="E27" s="234">
        <f>'ORÇAMENTO DESONERADO'!$D27/12</f>
        <v>130200</v>
      </c>
      <c r="F27" s="237">
        <f>E27</f>
        <v>130200</v>
      </c>
      <c r="G27" s="237">
        <f>F27</f>
        <v>130200</v>
      </c>
      <c r="H27" s="237">
        <f>G27</f>
        <v>130200</v>
      </c>
      <c r="I27" s="237">
        <f>H27</f>
        <v>130200</v>
      </c>
      <c r="J27" s="237">
        <f>I27</f>
        <v>130200</v>
      </c>
    </row>
    <row r="28" spans="1:13" ht="18">
      <c r="A28" s="200">
        <v>2</v>
      </c>
      <c r="B28" s="200" t="str">
        <f>B18</f>
        <v>Pintura de meio-fio</v>
      </c>
      <c r="C28" s="216" t="str">
        <f t="shared" ref="C28:C32" si="3">C18</f>
        <v>m</v>
      </c>
      <c r="D28" s="236">
        <f t="shared" ref="D28:D32" si="4">H9</f>
        <v>368721.6</v>
      </c>
      <c r="E28" s="234">
        <f>'ORÇAMENTO DESONERADO'!$D28/12</f>
        <v>30726.799999999999</v>
      </c>
      <c r="F28" s="237">
        <f t="shared" ref="F28:I32" si="5">E28</f>
        <v>30726.799999999999</v>
      </c>
      <c r="G28" s="237">
        <f t="shared" si="5"/>
        <v>30726.799999999999</v>
      </c>
      <c r="H28" s="237">
        <f t="shared" si="5"/>
        <v>30726.799999999999</v>
      </c>
      <c r="I28" s="237">
        <f t="shared" si="5"/>
        <v>30726.799999999999</v>
      </c>
      <c r="J28" s="237">
        <f t="shared" ref="J28" si="6">I28</f>
        <v>30726.799999999999</v>
      </c>
    </row>
    <row r="29" spans="1:13" ht="18">
      <c r="A29" s="200">
        <v>3</v>
      </c>
      <c r="B29" s="200" t="str">
        <f>B10</f>
        <v>Capinação e coleta de grama</v>
      </c>
      <c r="C29" s="216" t="str">
        <f t="shared" si="3"/>
        <v>M2</v>
      </c>
      <c r="D29" s="236">
        <f t="shared" si="4"/>
        <v>3341736</v>
      </c>
      <c r="E29" s="234">
        <f>'ORÇAMENTO DESONERADO'!$D29/12</f>
        <v>278478</v>
      </c>
      <c r="F29" s="237">
        <f t="shared" si="5"/>
        <v>278478</v>
      </c>
      <c r="G29" s="237">
        <f t="shared" si="5"/>
        <v>278478</v>
      </c>
      <c r="H29" s="237">
        <f t="shared" si="5"/>
        <v>278478</v>
      </c>
      <c r="I29" s="237">
        <f t="shared" si="5"/>
        <v>278478</v>
      </c>
      <c r="J29" s="237">
        <f t="shared" ref="J29" si="7">I29</f>
        <v>278478</v>
      </c>
    </row>
    <row r="30" spans="1:13" ht="18">
      <c r="A30" s="200">
        <v>4</v>
      </c>
      <c r="B30" s="200" t="str">
        <f>B11</f>
        <v>Limpeza de Bueiro</v>
      </c>
      <c r="C30" s="216" t="str">
        <f t="shared" si="3"/>
        <v>UND</v>
      </c>
      <c r="D30" s="236">
        <f t="shared" si="4"/>
        <v>245262</v>
      </c>
      <c r="E30" s="234">
        <f>'ORÇAMENTO DESONERADO'!$D30/12</f>
        <v>20438.5</v>
      </c>
      <c r="F30" s="237">
        <f t="shared" si="5"/>
        <v>20438.5</v>
      </c>
      <c r="G30" s="237">
        <f t="shared" si="5"/>
        <v>20438.5</v>
      </c>
      <c r="H30" s="237">
        <f t="shared" si="5"/>
        <v>20438.5</v>
      </c>
      <c r="I30" s="237">
        <f t="shared" si="5"/>
        <v>20438.5</v>
      </c>
      <c r="J30" s="237">
        <f t="shared" ref="J30" si="8">I30</f>
        <v>20438.5</v>
      </c>
    </row>
    <row r="31" spans="1:13" ht="18">
      <c r="A31" s="200">
        <v>5</v>
      </c>
      <c r="B31" s="200" t="str">
        <f>B21</f>
        <v>Corte, poda de arvore e coleta de entulhos e galhos</v>
      </c>
      <c r="C31" s="216" t="str">
        <f t="shared" si="3"/>
        <v>UND</v>
      </c>
      <c r="D31" s="236">
        <f t="shared" si="4"/>
        <v>802425.6</v>
      </c>
      <c r="E31" s="234">
        <f>'ORÇAMENTO DESONERADO'!$D31/12</f>
        <v>66868.800000000003</v>
      </c>
      <c r="F31" s="237">
        <f t="shared" si="5"/>
        <v>66868.800000000003</v>
      </c>
      <c r="G31" s="237">
        <f t="shared" si="5"/>
        <v>66868.800000000003</v>
      </c>
      <c r="H31" s="237">
        <f t="shared" si="5"/>
        <v>66868.800000000003</v>
      </c>
      <c r="I31" s="237">
        <f t="shared" si="5"/>
        <v>66868.800000000003</v>
      </c>
      <c r="J31" s="237">
        <f t="shared" ref="J31" si="9">I31</f>
        <v>66868.800000000003</v>
      </c>
    </row>
    <row r="32" spans="1:13" ht="18">
      <c r="A32" s="200">
        <v>6</v>
      </c>
      <c r="B32" s="200" t="str">
        <f>B22</f>
        <v>Reparo em meio-fio</v>
      </c>
      <c r="C32" s="216" t="str">
        <f t="shared" si="3"/>
        <v>m</v>
      </c>
      <c r="D32" s="236">
        <f t="shared" si="4"/>
        <v>608760</v>
      </c>
      <c r="E32" s="234">
        <f>'ORÇAMENTO DESONERADO'!$D32/12</f>
        <v>50730</v>
      </c>
      <c r="F32" s="237">
        <f t="shared" si="5"/>
        <v>50730</v>
      </c>
      <c r="G32" s="237">
        <f t="shared" si="5"/>
        <v>50730</v>
      </c>
      <c r="H32" s="237">
        <f t="shared" si="5"/>
        <v>50730</v>
      </c>
      <c r="I32" s="237">
        <f t="shared" si="5"/>
        <v>50730</v>
      </c>
      <c r="J32" s="237">
        <f t="shared" ref="J32" si="10">I32</f>
        <v>50730</v>
      </c>
    </row>
    <row r="33" spans="1:10" ht="18">
      <c r="A33" s="184"/>
      <c r="B33" s="185"/>
      <c r="C33" s="186"/>
      <c r="D33" s="187">
        <f>SUM(D27:D32)</f>
        <v>6929305.1999999993</v>
      </c>
      <c r="E33" s="188">
        <f>SUM(E27:E32)</f>
        <v>577442.1</v>
      </c>
      <c r="F33" s="188">
        <f t="shared" ref="F33:J33" si="11">SUM(F27:F32)</f>
        <v>577442.1</v>
      </c>
      <c r="G33" s="188">
        <f t="shared" si="11"/>
        <v>577442.1</v>
      </c>
      <c r="H33" s="188">
        <f t="shared" si="11"/>
        <v>577442.1</v>
      </c>
      <c r="I33" s="188">
        <f t="shared" si="11"/>
        <v>577442.1</v>
      </c>
      <c r="J33" s="188">
        <f t="shared" si="11"/>
        <v>577442.1</v>
      </c>
    </row>
    <row r="34" spans="1:10" ht="18">
      <c r="A34" s="182" t="s">
        <v>0</v>
      </c>
      <c r="B34" s="182" t="s">
        <v>1</v>
      </c>
      <c r="C34" s="182" t="s">
        <v>125</v>
      </c>
      <c r="D34" s="182" t="s">
        <v>78</v>
      </c>
      <c r="E34" s="183" t="s">
        <v>126</v>
      </c>
      <c r="F34" s="183" t="s">
        <v>127</v>
      </c>
      <c r="G34" s="183" t="s">
        <v>128</v>
      </c>
      <c r="H34" s="183" t="s">
        <v>129</v>
      </c>
      <c r="I34" s="183" t="s">
        <v>130</v>
      </c>
      <c r="J34" s="183" t="s">
        <v>131</v>
      </c>
    </row>
    <row r="35" spans="1:10" ht="18">
      <c r="A35" s="200">
        <v>1</v>
      </c>
      <c r="B35" s="200" t="str">
        <f>B27</f>
        <v>Varrição</v>
      </c>
      <c r="C35" s="216" t="str">
        <f>C27</f>
        <v>m</v>
      </c>
      <c r="D35" s="236">
        <f>D27</f>
        <v>1562400</v>
      </c>
      <c r="E35" s="234">
        <f>'ORÇAMENTO DESONERADO'!$D35/12</f>
        <v>130200</v>
      </c>
      <c r="F35" s="237">
        <f>E35</f>
        <v>130200</v>
      </c>
      <c r="G35" s="237">
        <f>F35</f>
        <v>130200</v>
      </c>
      <c r="H35" s="237">
        <f>G35</f>
        <v>130200</v>
      </c>
      <c r="I35" s="237">
        <f>H35</f>
        <v>130200</v>
      </c>
      <c r="J35" s="237">
        <f>I35</f>
        <v>130200</v>
      </c>
    </row>
    <row r="36" spans="1:10" ht="18">
      <c r="A36" s="200">
        <v>2</v>
      </c>
      <c r="B36" s="200" t="str">
        <f t="shared" ref="B36:D40" si="12">B28</f>
        <v>Pintura de meio-fio</v>
      </c>
      <c r="C36" s="216" t="str">
        <f t="shared" si="12"/>
        <v>m</v>
      </c>
      <c r="D36" s="236">
        <f t="shared" si="12"/>
        <v>368721.6</v>
      </c>
      <c r="E36" s="234">
        <f>'ORÇAMENTO DESONERADO'!$D36/12</f>
        <v>30726.799999999999</v>
      </c>
      <c r="F36" s="237">
        <f t="shared" ref="F36:J40" si="13">E36</f>
        <v>30726.799999999999</v>
      </c>
      <c r="G36" s="237">
        <f t="shared" si="13"/>
        <v>30726.799999999999</v>
      </c>
      <c r="H36" s="237">
        <f t="shared" si="13"/>
        <v>30726.799999999999</v>
      </c>
      <c r="I36" s="237">
        <f t="shared" si="13"/>
        <v>30726.799999999999</v>
      </c>
      <c r="J36" s="237">
        <f t="shared" si="13"/>
        <v>30726.799999999999</v>
      </c>
    </row>
    <row r="37" spans="1:10" ht="18">
      <c r="A37" s="200">
        <v>3</v>
      </c>
      <c r="B37" s="200" t="str">
        <f t="shared" si="12"/>
        <v>Capinação e coleta de grama</v>
      </c>
      <c r="C37" s="216" t="str">
        <f t="shared" si="12"/>
        <v>M2</v>
      </c>
      <c r="D37" s="236">
        <f t="shared" si="12"/>
        <v>3341736</v>
      </c>
      <c r="E37" s="234">
        <f>'ORÇAMENTO DESONERADO'!$D37/12</f>
        <v>278478</v>
      </c>
      <c r="F37" s="237">
        <f t="shared" ref="F37:I37" si="14">E37</f>
        <v>278478</v>
      </c>
      <c r="G37" s="237">
        <f t="shared" si="14"/>
        <v>278478</v>
      </c>
      <c r="H37" s="237">
        <f t="shared" si="14"/>
        <v>278478</v>
      </c>
      <c r="I37" s="237">
        <f t="shared" si="14"/>
        <v>278478</v>
      </c>
      <c r="J37" s="237">
        <f t="shared" si="13"/>
        <v>278478</v>
      </c>
    </row>
    <row r="38" spans="1:10" ht="18">
      <c r="A38" s="200">
        <v>4</v>
      </c>
      <c r="B38" s="200" t="str">
        <f t="shared" si="12"/>
        <v>Limpeza de Bueiro</v>
      </c>
      <c r="C38" s="216" t="str">
        <f t="shared" si="12"/>
        <v>UND</v>
      </c>
      <c r="D38" s="236">
        <f t="shared" si="12"/>
        <v>245262</v>
      </c>
      <c r="E38" s="234">
        <f>'ORÇAMENTO DESONERADO'!$D38/12</f>
        <v>20438.5</v>
      </c>
      <c r="F38" s="237">
        <f t="shared" ref="F38:I38" si="15">E38</f>
        <v>20438.5</v>
      </c>
      <c r="G38" s="237">
        <f t="shared" si="15"/>
        <v>20438.5</v>
      </c>
      <c r="H38" s="237">
        <f t="shared" si="15"/>
        <v>20438.5</v>
      </c>
      <c r="I38" s="237">
        <f t="shared" si="15"/>
        <v>20438.5</v>
      </c>
      <c r="J38" s="237">
        <f t="shared" si="13"/>
        <v>20438.5</v>
      </c>
    </row>
    <row r="39" spans="1:10" ht="18">
      <c r="A39" s="200">
        <v>5</v>
      </c>
      <c r="B39" s="200" t="str">
        <f t="shared" si="12"/>
        <v>Corte, poda de arvore e coleta de entulhos e galhos</v>
      </c>
      <c r="C39" s="216" t="str">
        <f t="shared" si="12"/>
        <v>UND</v>
      </c>
      <c r="D39" s="236">
        <f t="shared" si="12"/>
        <v>802425.6</v>
      </c>
      <c r="E39" s="234">
        <f>'ORÇAMENTO DESONERADO'!$D39/12</f>
        <v>66868.800000000003</v>
      </c>
      <c r="F39" s="237">
        <f t="shared" ref="F39:I39" si="16">E39</f>
        <v>66868.800000000003</v>
      </c>
      <c r="G39" s="237">
        <f t="shared" si="16"/>
        <v>66868.800000000003</v>
      </c>
      <c r="H39" s="237">
        <f t="shared" si="16"/>
        <v>66868.800000000003</v>
      </c>
      <c r="I39" s="237">
        <f t="shared" si="16"/>
        <v>66868.800000000003</v>
      </c>
      <c r="J39" s="237">
        <f t="shared" si="13"/>
        <v>66868.800000000003</v>
      </c>
    </row>
    <row r="40" spans="1:10" ht="18">
      <c r="A40" s="200">
        <v>6</v>
      </c>
      <c r="B40" s="200" t="str">
        <f t="shared" si="12"/>
        <v>Reparo em meio-fio</v>
      </c>
      <c r="C40" s="216" t="str">
        <f t="shared" si="12"/>
        <v>m</v>
      </c>
      <c r="D40" s="236">
        <f t="shared" si="12"/>
        <v>608760</v>
      </c>
      <c r="E40" s="234">
        <f>'ORÇAMENTO DESONERADO'!$D40/12</f>
        <v>50730</v>
      </c>
      <c r="F40" s="237">
        <f t="shared" ref="F40:I40" si="17">E40</f>
        <v>50730</v>
      </c>
      <c r="G40" s="237">
        <f t="shared" si="17"/>
        <v>50730</v>
      </c>
      <c r="H40" s="237">
        <f t="shared" si="17"/>
        <v>50730</v>
      </c>
      <c r="I40" s="237">
        <f t="shared" si="17"/>
        <v>50730</v>
      </c>
      <c r="J40" s="237">
        <f t="shared" si="13"/>
        <v>50730</v>
      </c>
    </row>
    <row r="41" spans="1:10" ht="18">
      <c r="A41" s="184"/>
      <c r="B41" s="185"/>
      <c r="C41" s="186"/>
      <c r="D41" s="238">
        <f>SUM(D35:D40)</f>
        <v>6929305.1999999993</v>
      </c>
      <c r="E41" s="239">
        <f>SUM(E35:E40)</f>
        <v>577442.1</v>
      </c>
      <c r="F41" s="239">
        <f t="shared" ref="F41:J41" si="18">SUM(F35:F40)</f>
        <v>577442.1</v>
      </c>
      <c r="G41" s="239">
        <f t="shared" si="18"/>
        <v>577442.1</v>
      </c>
      <c r="H41" s="239">
        <f t="shared" si="18"/>
        <v>577442.1</v>
      </c>
      <c r="I41" s="239">
        <f t="shared" si="18"/>
        <v>577442.1</v>
      </c>
      <c r="J41" s="239">
        <f t="shared" si="18"/>
        <v>577442.1</v>
      </c>
    </row>
  </sheetData>
  <mergeCells count="2">
    <mergeCell ref="A2:E2"/>
    <mergeCell ref="F2:G2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030B-92A2-48A9-A004-0DE7AAC233FB}">
  <dimension ref="A1:E43"/>
  <sheetViews>
    <sheetView workbookViewId="0">
      <selection activeCell="H31" sqref="H31"/>
    </sheetView>
  </sheetViews>
  <sheetFormatPr defaultRowHeight="15"/>
  <cols>
    <col min="2" max="2" width="41.42578125" customWidth="1"/>
    <col min="3" max="4" width="15.42578125" customWidth="1"/>
    <col min="5" max="5" width="13.42578125" customWidth="1"/>
  </cols>
  <sheetData>
    <row r="1" spans="1:5">
      <c r="A1" s="134" t="s">
        <v>52</v>
      </c>
      <c r="B1" s="134" t="s">
        <v>47</v>
      </c>
      <c r="C1" s="134" t="s">
        <v>48</v>
      </c>
      <c r="D1" s="134" t="s">
        <v>49</v>
      </c>
      <c r="E1" s="134" t="s">
        <v>50</v>
      </c>
    </row>
    <row r="2" spans="1:5">
      <c r="A2" s="135"/>
      <c r="B2" s="136" t="s">
        <v>53</v>
      </c>
      <c r="C2" s="136"/>
      <c r="D2" s="136"/>
      <c r="E2" s="137"/>
    </row>
    <row r="3" spans="1:5">
      <c r="A3" s="30" t="s">
        <v>0</v>
      </c>
      <c r="B3" s="31" t="s">
        <v>46</v>
      </c>
      <c r="C3" s="32" t="s">
        <v>2</v>
      </c>
      <c r="D3" s="32" t="s">
        <v>3</v>
      </c>
      <c r="E3" s="33" t="s">
        <v>4</v>
      </c>
    </row>
    <row r="4" spans="1:5" ht="24">
      <c r="A4" s="114">
        <v>1</v>
      </c>
      <c r="B4" s="115" t="s">
        <v>88</v>
      </c>
      <c r="C4" s="116">
        <v>6</v>
      </c>
      <c r="D4" s="116">
        <v>1325</v>
      </c>
      <c r="E4" s="117">
        <f>TRUNC(C4*D4,2)</f>
        <v>7950</v>
      </c>
    </row>
    <row r="5" spans="1:5">
      <c r="A5" s="34">
        <v>2</v>
      </c>
      <c r="B5" s="35" t="s">
        <v>79</v>
      </c>
      <c r="C5" s="36">
        <v>6</v>
      </c>
      <c r="D5" s="36">
        <f>D4*0.8339</f>
        <v>1104.9175</v>
      </c>
      <c r="E5" s="37">
        <f t="shared" ref="E5:E12" si="0">TRUNC(C5*D5,2)</f>
        <v>6629.5</v>
      </c>
    </row>
    <row r="6" spans="1:5" ht="24">
      <c r="A6" s="114">
        <v>3</v>
      </c>
      <c r="B6" s="115" t="s">
        <v>89</v>
      </c>
      <c r="C6" s="116">
        <v>6</v>
      </c>
      <c r="D6" s="116">
        <v>290</v>
      </c>
      <c r="E6" s="117">
        <f t="shared" si="0"/>
        <v>1740</v>
      </c>
    </row>
    <row r="7" spans="1:5" ht="36">
      <c r="A7" s="34">
        <v>4</v>
      </c>
      <c r="B7" s="35" t="s">
        <v>90</v>
      </c>
      <c r="C7" s="36">
        <v>1</v>
      </c>
      <c r="D7" s="36">
        <v>1736.16</v>
      </c>
      <c r="E7" s="37">
        <f t="shared" si="0"/>
        <v>1736.16</v>
      </c>
    </row>
    <row r="8" spans="1:5">
      <c r="A8" s="114">
        <v>5</v>
      </c>
      <c r="B8" s="115" t="s">
        <v>79</v>
      </c>
      <c r="C8" s="116">
        <v>1</v>
      </c>
      <c r="D8" s="116">
        <f>D7*0.8339</f>
        <v>1447.7838240000001</v>
      </c>
      <c r="E8" s="117">
        <f t="shared" si="0"/>
        <v>1447.78</v>
      </c>
    </row>
    <row r="9" spans="1:5" ht="24">
      <c r="A9" s="34">
        <v>6</v>
      </c>
      <c r="B9" s="35" t="s">
        <v>89</v>
      </c>
      <c r="C9" s="36">
        <v>1</v>
      </c>
      <c r="D9" s="36">
        <v>290</v>
      </c>
      <c r="E9" s="37">
        <f t="shared" si="0"/>
        <v>290</v>
      </c>
    </row>
    <row r="10" spans="1:5" ht="24">
      <c r="A10" s="114">
        <v>7</v>
      </c>
      <c r="B10" s="115" t="s">
        <v>91</v>
      </c>
      <c r="C10" s="116">
        <v>1</v>
      </c>
      <c r="D10" s="116">
        <v>1971.13</v>
      </c>
      <c r="E10" s="117">
        <f t="shared" si="0"/>
        <v>1971.13</v>
      </c>
    </row>
    <row r="11" spans="1:5">
      <c r="A11" s="34">
        <v>8</v>
      </c>
      <c r="B11" s="35" t="s">
        <v>79</v>
      </c>
      <c r="C11" s="36">
        <v>1</v>
      </c>
      <c r="D11" s="36">
        <f>D10*0.8339</f>
        <v>1643.7253069999999</v>
      </c>
      <c r="E11" s="37">
        <f t="shared" si="0"/>
        <v>1643.72</v>
      </c>
    </row>
    <row r="12" spans="1:5" ht="24">
      <c r="A12" s="114">
        <v>9</v>
      </c>
      <c r="B12" s="115" t="s">
        <v>89</v>
      </c>
      <c r="C12" s="116">
        <v>1</v>
      </c>
      <c r="D12" s="116">
        <v>290</v>
      </c>
      <c r="E12" s="117">
        <f t="shared" si="0"/>
        <v>290</v>
      </c>
    </row>
    <row r="13" spans="1:5">
      <c r="A13" s="38"/>
      <c r="B13" s="39"/>
      <c r="C13" s="39"/>
      <c r="D13" s="39" t="s">
        <v>5</v>
      </c>
      <c r="E13" s="40">
        <f>SUBTOTAL(109,E4:E12)</f>
        <v>23698.29</v>
      </c>
    </row>
    <row r="14" spans="1:5">
      <c r="A14" s="62"/>
      <c r="B14" s="136" t="s">
        <v>52</v>
      </c>
      <c r="C14" s="63"/>
      <c r="D14" s="63"/>
      <c r="E14" s="64"/>
    </row>
    <row r="15" spans="1:5">
      <c r="A15" s="42" t="s">
        <v>0</v>
      </c>
      <c r="B15" s="32" t="s">
        <v>1</v>
      </c>
      <c r="C15" s="32" t="s">
        <v>2</v>
      </c>
      <c r="D15" s="32" t="s">
        <v>3</v>
      </c>
      <c r="E15" s="32" t="s">
        <v>4</v>
      </c>
    </row>
    <row r="16" spans="1:5" ht="24">
      <c r="A16" s="118">
        <v>1</v>
      </c>
      <c r="B16" s="119" t="s">
        <v>97</v>
      </c>
      <c r="C16" s="116">
        <f>C4</f>
        <v>6</v>
      </c>
      <c r="D16" s="116">
        <v>12.51</v>
      </c>
      <c r="E16" s="117">
        <f>TRUNC(C16*D16,2)</f>
        <v>75.06</v>
      </c>
    </row>
    <row r="17" spans="1:5" ht="24">
      <c r="A17" s="43">
        <v>2</v>
      </c>
      <c r="B17" s="44" t="s">
        <v>55</v>
      </c>
      <c r="C17" s="36">
        <f>C16</f>
        <v>6</v>
      </c>
      <c r="D17" s="36">
        <v>8</v>
      </c>
      <c r="E17" s="37">
        <f t="shared" ref="E17:E21" si="1">TRUNC(C17*D17,2)</f>
        <v>48</v>
      </c>
    </row>
    <row r="18" spans="1:5" ht="24">
      <c r="A18" s="118">
        <v>3</v>
      </c>
      <c r="B18" s="119" t="s">
        <v>56</v>
      </c>
      <c r="C18" s="116">
        <f>C16</f>
        <v>6</v>
      </c>
      <c r="D18" s="116">
        <v>15</v>
      </c>
      <c r="E18" s="117">
        <f t="shared" si="1"/>
        <v>90</v>
      </c>
    </row>
    <row r="19" spans="1:5" ht="24">
      <c r="A19" s="43">
        <v>4</v>
      </c>
      <c r="B19" s="44" t="s">
        <v>98</v>
      </c>
      <c r="C19" s="36">
        <f>C18</f>
        <v>6</v>
      </c>
      <c r="D19" s="36">
        <v>5.42</v>
      </c>
      <c r="E19" s="37">
        <f t="shared" si="1"/>
        <v>32.520000000000003</v>
      </c>
    </row>
    <row r="20" spans="1:5" ht="24">
      <c r="A20" s="118">
        <v>5</v>
      </c>
      <c r="B20" s="119" t="s">
        <v>57</v>
      </c>
      <c r="C20" s="116">
        <f>C19</f>
        <v>6</v>
      </c>
      <c r="D20" s="116">
        <v>2.5</v>
      </c>
      <c r="E20" s="117">
        <f t="shared" si="1"/>
        <v>15</v>
      </c>
    </row>
    <row r="21" spans="1:5" ht="24">
      <c r="A21" s="43">
        <v>6</v>
      </c>
      <c r="B21" s="44" t="s">
        <v>99</v>
      </c>
      <c r="C21" s="36">
        <f>C5+C8+C12</f>
        <v>8</v>
      </c>
      <c r="D21" s="36">
        <v>66.72</v>
      </c>
      <c r="E21" s="37">
        <f t="shared" si="1"/>
        <v>533.76</v>
      </c>
    </row>
    <row r="22" spans="1:5" ht="24">
      <c r="A22" s="118">
        <v>8</v>
      </c>
      <c r="B22" s="119" t="s">
        <v>44</v>
      </c>
      <c r="C22" s="116">
        <f>C21</f>
        <v>8</v>
      </c>
      <c r="D22" s="116">
        <v>150</v>
      </c>
      <c r="E22" s="117">
        <f>TRUNC(C22*D22,2)</f>
        <v>1200</v>
      </c>
    </row>
    <row r="23" spans="1:5">
      <c r="A23" s="41"/>
      <c r="B23" s="45"/>
      <c r="C23" s="45"/>
      <c r="D23" s="46" t="s">
        <v>5</v>
      </c>
      <c r="E23" s="47">
        <f>SUBTOTAL(109,E16:E22)</f>
        <v>1994.3400000000001</v>
      </c>
    </row>
    <row r="24" spans="1:5">
      <c r="A24" s="61"/>
      <c r="B24" s="138" t="s">
        <v>54</v>
      </c>
      <c r="C24" s="65"/>
      <c r="D24" s="65"/>
      <c r="E24" s="60"/>
    </row>
    <row r="25" spans="1:5">
      <c r="A25" s="30" t="s">
        <v>0</v>
      </c>
      <c r="B25" s="31" t="s">
        <v>1</v>
      </c>
      <c r="C25" s="31" t="s">
        <v>2</v>
      </c>
      <c r="D25" s="31" t="s">
        <v>3</v>
      </c>
      <c r="E25" s="31" t="s">
        <v>4</v>
      </c>
    </row>
    <row r="26" spans="1:5" ht="24">
      <c r="A26" s="114">
        <v>1</v>
      </c>
      <c r="B26" s="115" t="s">
        <v>23</v>
      </c>
      <c r="C26" s="116">
        <v>3</v>
      </c>
      <c r="D26" s="116">
        <v>26.9</v>
      </c>
      <c r="E26" s="117">
        <f>TRUNC(C26*D26,2)</f>
        <v>80.7</v>
      </c>
    </row>
    <row r="27" spans="1:5" ht="24">
      <c r="A27" s="34">
        <v>2</v>
      </c>
      <c r="B27" s="35" t="s">
        <v>24</v>
      </c>
      <c r="C27" s="36">
        <v>4</v>
      </c>
      <c r="D27" s="36">
        <v>6.5</v>
      </c>
      <c r="E27" s="37">
        <f t="shared" ref="E27:E32" si="2">TRUNC(C27*D27,2)</f>
        <v>26</v>
      </c>
    </row>
    <row r="28" spans="1:5" ht="24">
      <c r="A28" s="114">
        <v>3</v>
      </c>
      <c r="B28" s="115" t="s">
        <v>41</v>
      </c>
      <c r="C28" s="116">
        <v>4</v>
      </c>
      <c r="D28" s="116">
        <v>54.9</v>
      </c>
      <c r="E28" s="117">
        <f t="shared" si="2"/>
        <v>219.6</v>
      </c>
    </row>
    <row r="29" spans="1:5" ht="24">
      <c r="A29" s="34">
        <v>4</v>
      </c>
      <c r="B29" s="35" t="s">
        <v>25</v>
      </c>
      <c r="C29" s="36">
        <v>4</v>
      </c>
      <c r="D29" s="36">
        <v>49.9</v>
      </c>
      <c r="E29" s="37">
        <f t="shared" si="2"/>
        <v>199.6</v>
      </c>
    </row>
    <row r="30" spans="1:5" ht="24">
      <c r="A30" s="114">
        <v>5</v>
      </c>
      <c r="B30" s="115" t="s">
        <v>26</v>
      </c>
      <c r="C30" s="116">
        <v>4</v>
      </c>
      <c r="D30" s="116">
        <v>57.61</v>
      </c>
      <c r="E30" s="117">
        <f t="shared" si="2"/>
        <v>230.44</v>
      </c>
    </row>
    <row r="31" spans="1:5" ht="24">
      <c r="A31" s="34">
        <v>6</v>
      </c>
      <c r="B31" s="35" t="s">
        <v>45</v>
      </c>
      <c r="C31" s="36">
        <f>50*C4</f>
        <v>300</v>
      </c>
      <c r="D31" s="36">
        <v>4</v>
      </c>
      <c r="E31" s="37">
        <f t="shared" ref="E31" si="3">TRUNC(C31*D31,2)</f>
        <v>1200</v>
      </c>
    </row>
    <row r="32" spans="1:5" ht="24">
      <c r="A32" s="114">
        <v>7</v>
      </c>
      <c r="B32" s="115" t="s">
        <v>27</v>
      </c>
      <c r="C32" s="116">
        <v>5</v>
      </c>
      <c r="D32" s="116">
        <v>629</v>
      </c>
      <c r="E32" s="117">
        <f t="shared" si="2"/>
        <v>3145</v>
      </c>
    </row>
    <row r="33" spans="1:5">
      <c r="A33" s="120"/>
      <c r="B33" s="121"/>
      <c r="C33" s="121"/>
      <c r="D33" s="122" t="s">
        <v>5</v>
      </c>
      <c r="E33" s="123">
        <f>SUBTOTAL(109,E26:E32)</f>
        <v>5101.34</v>
      </c>
    </row>
    <row r="34" spans="1:5">
      <c r="A34" s="189"/>
      <c r="B34" s="190" t="s">
        <v>58</v>
      </c>
      <c r="C34" s="191"/>
      <c r="D34" s="191"/>
      <c r="E34" s="192"/>
    </row>
    <row r="35" spans="1:5">
      <c r="A35" s="69">
        <v>1</v>
      </c>
      <c r="B35" s="70" t="s">
        <v>6</v>
      </c>
      <c r="C35" s="71"/>
      <c r="D35" s="56"/>
      <c r="E35" s="74">
        <f>E13</f>
        <v>23698.29</v>
      </c>
    </row>
    <row r="36" spans="1:5">
      <c r="A36" s="114">
        <v>2</v>
      </c>
      <c r="B36" s="124" t="s">
        <v>7</v>
      </c>
      <c r="C36" s="125"/>
      <c r="D36" s="126"/>
      <c r="E36" s="116">
        <f>E23</f>
        <v>1994.3400000000001</v>
      </c>
    </row>
    <row r="37" spans="1:5">
      <c r="A37" s="54">
        <v>3</v>
      </c>
      <c r="B37" s="72" t="s">
        <v>8</v>
      </c>
      <c r="C37" s="73"/>
      <c r="D37" s="38"/>
      <c r="E37" s="75">
        <f>E33</f>
        <v>5101.34</v>
      </c>
    </row>
    <row r="38" spans="1:5" ht="16.350000000000001" customHeight="1">
      <c r="A38" s="77"/>
      <c r="B38" s="78"/>
      <c r="C38" s="73"/>
      <c r="D38" s="79" t="s">
        <v>4</v>
      </c>
      <c r="E38" s="80">
        <f>SUBTOTAL(109,E35:E37)</f>
        <v>30793.97</v>
      </c>
    </row>
    <row r="39" spans="1:5">
      <c r="A39" s="62"/>
      <c r="B39" s="136" t="s">
        <v>59</v>
      </c>
      <c r="C39" s="63"/>
      <c r="D39" s="63"/>
      <c r="E39" s="64"/>
    </row>
    <row r="40" spans="1:5">
      <c r="A40" s="30" t="s">
        <v>0</v>
      </c>
      <c r="B40" s="31" t="s">
        <v>1</v>
      </c>
      <c r="C40" s="31" t="s">
        <v>47</v>
      </c>
      <c r="D40" s="31" t="s">
        <v>9</v>
      </c>
      <c r="E40" s="31" t="s">
        <v>3</v>
      </c>
    </row>
    <row r="41" spans="1:5">
      <c r="A41" s="114">
        <v>1</v>
      </c>
      <c r="B41" s="127" t="s">
        <v>28</v>
      </c>
      <c r="C41" s="128"/>
      <c r="D41" s="128" t="s">
        <v>29</v>
      </c>
      <c r="E41" s="129">
        <f>E38</f>
        <v>30793.97</v>
      </c>
    </row>
    <row r="42" spans="1:5">
      <c r="A42" s="34">
        <v>2</v>
      </c>
      <c r="B42" s="52" t="s">
        <v>137</v>
      </c>
      <c r="C42" s="53"/>
      <c r="D42" s="53" t="s">
        <v>85</v>
      </c>
      <c r="E42" s="217">
        <v>59750</v>
      </c>
    </row>
    <row r="43" spans="1:5">
      <c r="A43" s="130">
        <v>3</v>
      </c>
      <c r="B43" s="131" t="s">
        <v>136</v>
      </c>
      <c r="C43" s="132"/>
      <c r="D43" s="132" t="s">
        <v>135</v>
      </c>
      <c r="E43" s="133">
        <f>TRUNC(E41/E42,2)</f>
        <v>0.51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33C5-C086-4BB0-B8EF-71FCB6577D95}">
  <dimension ref="A1:E39"/>
  <sheetViews>
    <sheetView workbookViewId="0">
      <selection activeCell="E46" sqref="E46"/>
    </sheetView>
  </sheetViews>
  <sheetFormatPr defaultRowHeight="15"/>
  <cols>
    <col min="2" max="2" width="37.5703125" customWidth="1"/>
    <col min="3" max="3" width="12.42578125" customWidth="1"/>
    <col min="4" max="4" width="16" customWidth="1"/>
    <col min="5" max="5" width="14.5703125" customWidth="1"/>
  </cols>
  <sheetData>
    <row r="1" spans="1:5">
      <c r="A1" s="57"/>
      <c r="B1" s="58" t="s">
        <v>53</v>
      </c>
      <c r="C1" s="58"/>
      <c r="D1" s="58"/>
      <c r="E1" s="59"/>
    </row>
    <row r="2" spans="1:5">
      <c r="A2" s="139" t="s">
        <v>0</v>
      </c>
      <c r="B2" s="139" t="s">
        <v>1</v>
      </c>
      <c r="C2" s="140" t="s">
        <v>30</v>
      </c>
      <c r="D2" s="140" t="s">
        <v>3</v>
      </c>
      <c r="E2" s="140" t="s">
        <v>4</v>
      </c>
    </row>
    <row r="3" spans="1:5" ht="36">
      <c r="A3" s="53">
        <v>1</v>
      </c>
      <c r="B3" s="35" t="s">
        <v>93</v>
      </c>
      <c r="C3" s="36">
        <v>5</v>
      </c>
      <c r="D3" s="36">
        <f>varrição!D4</f>
        <v>1325</v>
      </c>
      <c r="E3" s="36">
        <f>C3*D3</f>
        <v>6625</v>
      </c>
    </row>
    <row r="4" spans="1:5" ht="24">
      <c r="A4" s="141">
        <v>2</v>
      </c>
      <c r="B4" s="115" t="str">
        <f>varrição!B5</f>
        <v>ENCARGOS SOCIAIS - MENSALISTAS - 83,39%</v>
      </c>
      <c r="C4" s="116">
        <v>5</v>
      </c>
      <c r="D4" s="116">
        <f>D3*0.8339</f>
        <v>1104.9175</v>
      </c>
      <c r="E4" s="116">
        <f t="shared" ref="E4:E11" si="0">C4*D4</f>
        <v>5524.5874999999996</v>
      </c>
    </row>
    <row r="5" spans="1:5" ht="24">
      <c r="A5" s="53">
        <v>3</v>
      </c>
      <c r="B5" s="35" t="str">
        <f>varrição!B6</f>
        <v>AUXILIO ALIMENTAÇÃO - CONVENÇÃO COLETIVA 2023 - STEAC/MS</v>
      </c>
      <c r="C5" s="36">
        <v>5</v>
      </c>
      <c r="D5" s="36">
        <f>varrição!D6</f>
        <v>290</v>
      </c>
      <c r="E5" s="36">
        <f t="shared" si="0"/>
        <v>1450</v>
      </c>
    </row>
    <row r="6" spans="1:5" ht="36">
      <c r="A6" s="141">
        <v>4</v>
      </c>
      <c r="B6" s="115" t="s">
        <v>90</v>
      </c>
      <c r="C6" s="116">
        <v>1</v>
      </c>
      <c r="D6" s="116">
        <f>varrição!D7</f>
        <v>1736.16</v>
      </c>
      <c r="E6" s="116">
        <f t="shared" si="0"/>
        <v>1736.16</v>
      </c>
    </row>
    <row r="7" spans="1:5" ht="24">
      <c r="A7" s="53">
        <v>5</v>
      </c>
      <c r="B7" s="35" t="str">
        <f>B4</f>
        <v>ENCARGOS SOCIAIS - MENSALISTAS - 83,39%</v>
      </c>
      <c r="C7" s="36">
        <v>1</v>
      </c>
      <c r="D7" s="36">
        <f>D6*0.8339</f>
        <v>1447.7838240000001</v>
      </c>
      <c r="E7" s="36">
        <f t="shared" si="0"/>
        <v>1447.7838240000001</v>
      </c>
    </row>
    <row r="8" spans="1:5" ht="24">
      <c r="A8" s="141">
        <v>6</v>
      </c>
      <c r="B8" s="115" t="str">
        <f>B5</f>
        <v>AUXILIO ALIMENTAÇÃO - CONVENÇÃO COLETIVA 2023 - STEAC/MS</v>
      </c>
      <c r="C8" s="116">
        <v>1</v>
      </c>
      <c r="D8" s="116">
        <f>D5</f>
        <v>290</v>
      </c>
      <c r="E8" s="116">
        <f t="shared" si="0"/>
        <v>290</v>
      </c>
    </row>
    <row r="9" spans="1:5" ht="24">
      <c r="A9" s="53">
        <v>7</v>
      </c>
      <c r="B9" s="35" t="s">
        <v>91</v>
      </c>
      <c r="C9" s="36">
        <v>1</v>
      </c>
      <c r="D9" s="36">
        <f>varrição!D10</f>
        <v>1971.13</v>
      </c>
      <c r="E9" s="36">
        <f t="shared" si="0"/>
        <v>1971.13</v>
      </c>
    </row>
    <row r="10" spans="1:5" ht="24">
      <c r="A10" s="141">
        <v>8</v>
      </c>
      <c r="B10" s="115" t="str">
        <f>B4</f>
        <v>ENCARGOS SOCIAIS - MENSALISTAS - 83,39%</v>
      </c>
      <c r="C10" s="116">
        <v>1</v>
      </c>
      <c r="D10" s="116">
        <f>D9*0.8339</f>
        <v>1643.7253069999999</v>
      </c>
      <c r="E10" s="116">
        <f t="shared" si="0"/>
        <v>1643.7253069999999</v>
      </c>
    </row>
    <row r="11" spans="1:5" ht="24">
      <c r="A11" s="53">
        <v>9</v>
      </c>
      <c r="B11" s="35" t="str">
        <f>B5</f>
        <v>AUXILIO ALIMENTAÇÃO - CONVENÇÃO COLETIVA 2023 - STEAC/MS</v>
      </c>
      <c r="C11" s="36">
        <f>C9</f>
        <v>1</v>
      </c>
      <c r="D11" s="36">
        <f>D8</f>
        <v>290</v>
      </c>
      <c r="E11" s="36">
        <f t="shared" si="0"/>
        <v>290</v>
      </c>
    </row>
    <row r="12" spans="1:5">
      <c r="A12" s="53"/>
      <c r="B12" s="81"/>
      <c r="C12" s="81"/>
      <c r="D12" s="81" t="s">
        <v>5</v>
      </c>
      <c r="E12" s="67">
        <f>SUM(E3:E11)</f>
        <v>20978.386631000001</v>
      </c>
    </row>
    <row r="13" spans="1:5">
      <c r="A13" s="41"/>
      <c r="B13" s="41"/>
      <c r="C13" s="41"/>
      <c r="D13" s="41"/>
      <c r="E13" s="41"/>
    </row>
    <row r="14" spans="1:5">
      <c r="A14" s="57"/>
      <c r="B14" s="58" t="s">
        <v>61</v>
      </c>
      <c r="C14" s="58"/>
      <c r="D14" s="58"/>
      <c r="E14" s="59"/>
    </row>
    <row r="15" spans="1:5">
      <c r="A15" s="140" t="s">
        <v>0</v>
      </c>
      <c r="B15" s="140" t="s">
        <v>1</v>
      </c>
      <c r="C15" s="140" t="s">
        <v>30</v>
      </c>
      <c r="D15" s="140" t="s">
        <v>3</v>
      </c>
      <c r="E15" s="140" t="s">
        <v>4</v>
      </c>
    </row>
    <row r="16" spans="1:5" ht="24">
      <c r="A16" s="82">
        <v>1</v>
      </c>
      <c r="B16" s="44" t="str">
        <f>Tabela9[[#This Row],[DESCRIÇÃO]]</f>
        <v>LUVA RASPA DE COURO, CANO CURTO                              SINAPI/FEV/2023</v>
      </c>
      <c r="C16" s="36">
        <v>2</v>
      </c>
      <c r="D16" s="36">
        <f>Tabela9[[#This Row],[V. UNITÁRIO]]</f>
        <v>12.51</v>
      </c>
      <c r="E16" s="36">
        <f>C16*D16</f>
        <v>25.02</v>
      </c>
    </row>
    <row r="17" spans="1:5" ht="24">
      <c r="A17" s="142">
        <v>2</v>
      </c>
      <c r="B17" s="119" t="str">
        <f>Tabela9[[#This Row],[DESCRIÇÃO]]</f>
        <v>LUVA DE PVC                                                                          SINDUSCON/MS -  MARÇO/2022</v>
      </c>
      <c r="C17" s="116">
        <v>2</v>
      </c>
      <c r="D17" s="116">
        <f>Tabela9[[#This Row],[QUANTIDADE ]]</f>
        <v>6</v>
      </c>
      <c r="E17" s="116">
        <f t="shared" ref="E17:E21" si="1">C17*D17</f>
        <v>12</v>
      </c>
    </row>
    <row r="18" spans="1:5" ht="24">
      <c r="A18" s="82">
        <v>3</v>
      </c>
      <c r="B18" s="44" t="str">
        <f>Tabela9[[#This Row],[DESCRIÇÃO]]</f>
        <v>CAPA DE CHUVA                                                                            SINDUSCON/MS - MARÇO/2022</v>
      </c>
      <c r="C18" s="36">
        <v>2</v>
      </c>
      <c r="D18" s="36">
        <v>15</v>
      </c>
      <c r="E18" s="36">
        <f t="shared" si="1"/>
        <v>30</v>
      </c>
    </row>
    <row r="19" spans="1:5" ht="24">
      <c r="A19" s="142">
        <v>4</v>
      </c>
      <c r="B19" s="119" t="str">
        <f>Tabela9[[#This Row],[DESCRIÇÃO]]</f>
        <v>OCULOS DE SEGURANÇA                                       SINAPI/FEV/2023</v>
      </c>
      <c r="C19" s="116">
        <v>2</v>
      </c>
      <c r="D19" s="116">
        <v>16</v>
      </c>
      <c r="E19" s="116">
        <f t="shared" si="1"/>
        <v>32</v>
      </c>
    </row>
    <row r="20" spans="1:5" ht="24">
      <c r="A20" s="82">
        <v>5</v>
      </c>
      <c r="B20" s="44" t="str">
        <f>Tabela9[[#This Row],[DESCRIÇÃO]]</f>
        <v>MASCARA DESCARTAVEL                                                             SINDUSCON/MS - MARÇO/2022</v>
      </c>
      <c r="C20" s="36">
        <v>2</v>
      </c>
      <c r="D20" s="36">
        <v>2.5</v>
      </c>
      <c r="E20" s="36">
        <f t="shared" si="1"/>
        <v>5</v>
      </c>
    </row>
    <row r="21" spans="1:5" ht="24">
      <c r="A21" s="142">
        <v>6</v>
      </c>
      <c r="B21" s="119" t="str">
        <f>Tabela9[[#This Row],[DESCRIÇÃO]]</f>
        <v>BOTA DE SEGURANÇA                                                            SINAPI/FEV/2023</v>
      </c>
      <c r="C21" s="143">
        <f>C3+C6+C9</f>
        <v>7</v>
      </c>
      <c r="D21" s="116">
        <f>Tabela9[[#This Row],[V. UNITÁRIO]]</f>
        <v>66.72</v>
      </c>
      <c r="E21" s="116">
        <f t="shared" si="1"/>
        <v>467.03999999999996</v>
      </c>
    </row>
    <row r="22" spans="1:5" ht="24">
      <c r="A22" s="82">
        <v>7</v>
      </c>
      <c r="B22" s="44" t="s">
        <v>44</v>
      </c>
      <c r="C22" s="36">
        <f>C21</f>
        <v>7</v>
      </c>
      <c r="D22" s="36">
        <f>varrição!D22</f>
        <v>150</v>
      </c>
      <c r="E22" s="36">
        <f t="shared" ref="E22" si="2">C22*D22</f>
        <v>1050</v>
      </c>
    </row>
    <row r="23" spans="1:5">
      <c r="A23" s="68"/>
      <c r="B23" s="83"/>
      <c r="C23" s="83"/>
      <c r="D23" s="83" t="s">
        <v>5</v>
      </c>
      <c r="E23" s="83">
        <f>SUM(E16:E22)</f>
        <v>1621.06</v>
      </c>
    </row>
    <row r="24" spans="1:5">
      <c r="A24" s="57"/>
      <c r="B24" s="58" t="s">
        <v>54</v>
      </c>
      <c r="C24" s="58"/>
      <c r="D24" s="58"/>
      <c r="E24" s="59"/>
    </row>
    <row r="25" spans="1:5">
      <c r="A25" s="139" t="s">
        <v>0</v>
      </c>
      <c r="B25" s="139" t="s">
        <v>1</v>
      </c>
      <c r="C25" s="139" t="s">
        <v>30</v>
      </c>
      <c r="D25" s="139" t="s">
        <v>3</v>
      </c>
      <c r="E25" s="139" t="s">
        <v>4</v>
      </c>
    </row>
    <row r="26" spans="1:5" ht="24">
      <c r="A26" s="159">
        <v>1</v>
      </c>
      <c r="B26" s="160" t="s">
        <v>39</v>
      </c>
      <c r="C26" s="161">
        <v>2</v>
      </c>
      <c r="D26" s="161">
        <v>13.1</v>
      </c>
      <c r="E26" s="161">
        <f>C26*D26</f>
        <v>26.2</v>
      </c>
    </row>
    <row r="27" spans="1:5" ht="24">
      <c r="A27" s="141">
        <v>2</v>
      </c>
      <c r="B27" s="115" t="s">
        <v>40</v>
      </c>
      <c r="C27" s="116">
        <v>4</v>
      </c>
      <c r="D27" s="116">
        <v>9.9</v>
      </c>
      <c r="E27" s="116">
        <f t="shared" ref="E27:E28" si="3">C27*D27</f>
        <v>39.6</v>
      </c>
    </row>
    <row r="28" spans="1:5" ht="24">
      <c r="A28" s="53">
        <v>3</v>
      </c>
      <c r="B28" s="35" t="s">
        <v>100</v>
      </c>
      <c r="C28" s="36">
        <v>1500</v>
      </c>
      <c r="D28" s="36">
        <v>1.75</v>
      </c>
      <c r="E28" s="36">
        <f t="shared" si="3"/>
        <v>2625</v>
      </c>
    </row>
    <row r="29" spans="1:5">
      <c r="A29" s="68"/>
      <c r="B29" s="81"/>
      <c r="C29" s="81"/>
      <c r="D29" s="81" t="s">
        <v>5</v>
      </c>
      <c r="E29" s="84">
        <f>SUM(E26:E28)</f>
        <v>2690.8</v>
      </c>
    </row>
    <row r="30" spans="1:5">
      <c r="A30" s="193"/>
      <c r="B30" s="194" t="s">
        <v>58</v>
      </c>
      <c r="C30" s="194"/>
      <c r="D30" s="194"/>
      <c r="E30" s="195"/>
    </row>
    <row r="31" spans="1:5">
      <c r="A31" s="109">
        <v>1</v>
      </c>
      <c r="B31" s="110" t="s">
        <v>6</v>
      </c>
      <c r="C31" s="111"/>
      <c r="D31" s="112"/>
      <c r="E31" s="113">
        <f>E12</f>
        <v>20978.386631000001</v>
      </c>
    </row>
    <row r="32" spans="1:5">
      <c r="A32" s="149">
        <v>2</v>
      </c>
      <c r="B32" s="150" t="s">
        <v>7</v>
      </c>
      <c r="C32" s="151"/>
      <c r="D32" s="152"/>
      <c r="E32" s="153">
        <f>E23</f>
        <v>1621.06</v>
      </c>
    </row>
    <row r="33" spans="1:5">
      <c r="A33" s="109">
        <v>3</v>
      </c>
      <c r="B33" s="110" t="s">
        <v>8</v>
      </c>
      <c r="C33" s="111"/>
      <c r="D33" s="112"/>
      <c r="E33" s="113">
        <f>E29</f>
        <v>2690.8</v>
      </c>
    </row>
    <row r="34" spans="1:5">
      <c r="A34" s="144"/>
      <c r="B34" s="145"/>
      <c r="C34" s="146"/>
      <c r="D34" s="147" t="s">
        <v>60</v>
      </c>
      <c r="E34" s="148">
        <f>SUM(E31:E33)</f>
        <v>25290.246631000002</v>
      </c>
    </row>
    <row r="35" spans="1:5">
      <c r="A35" s="57"/>
      <c r="B35" s="66" t="s">
        <v>59</v>
      </c>
      <c r="C35" s="66"/>
      <c r="D35" s="58"/>
      <c r="E35" s="59"/>
    </row>
    <row r="36" spans="1:5">
      <c r="A36" s="154" t="s">
        <v>0</v>
      </c>
      <c r="B36" s="155" t="s">
        <v>1</v>
      </c>
      <c r="C36" s="156"/>
      <c r="D36" s="157" t="s">
        <v>9</v>
      </c>
      <c r="E36" s="139" t="s">
        <v>3</v>
      </c>
    </row>
    <row r="37" spans="1:5">
      <c r="A37" s="53">
        <v>1</v>
      </c>
      <c r="B37" s="85" t="s">
        <v>31</v>
      </c>
      <c r="C37" s="86"/>
      <c r="D37" s="53" t="s">
        <v>29</v>
      </c>
      <c r="E37" s="75">
        <f>E34</f>
        <v>25290.246631000002</v>
      </c>
    </row>
    <row r="38" spans="1:5">
      <c r="A38" s="141">
        <v>2</v>
      </c>
      <c r="B38" s="155" t="s">
        <v>43</v>
      </c>
      <c r="C38" s="156"/>
      <c r="D38" s="141" t="s">
        <v>85</v>
      </c>
      <c r="E38" s="158">
        <f>121292.5/3</f>
        <v>40430.833333333336</v>
      </c>
    </row>
    <row r="39" spans="1:5">
      <c r="A39" s="53">
        <v>3</v>
      </c>
      <c r="B39" s="85" t="s">
        <v>87</v>
      </c>
      <c r="C39" s="86"/>
      <c r="D39" s="53" t="s">
        <v>86</v>
      </c>
      <c r="E39" s="36">
        <f>E37/E38</f>
        <v>0.62551880695838569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91CA-03F9-48CE-BD02-C10B771DC427}">
  <dimension ref="A1:P43"/>
  <sheetViews>
    <sheetView zoomScaleNormal="100" workbookViewId="0">
      <selection activeCell="H47" sqref="H47"/>
    </sheetView>
  </sheetViews>
  <sheetFormatPr defaultRowHeight="15"/>
  <cols>
    <col min="2" max="2" width="51.85546875" customWidth="1"/>
    <col min="3" max="3" width="16.140625" customWidth="1"/>
    <col min="4" max="4" width="18.7109375" customWidth="1"/>
    <col min="5" max="5" width="16.42578125" customWidth="1"/>
    <col min="10" max="10" width="12.28515625" customWidth="1"/>
  </cols>
  <sheetData>
    <row r="1" spans="1:16">
      <c r="A1" s="57" t="s">
        <v>47</v>
      </c>
      <c r="B1" s="58" t="s">
        <v>53</v>
      </c>
      <c r="C1" s="58" t="s">
        <v>48</v>
      </c>
      <c r="D1" s="58" t="s">
        <v>49</v>
      </c>
      <c r="E1" s="59" t="s">
        <v>50</v>
      </c>
    </row>
    <row r="2" spans="1:16">
      <c r="A2" s="57"/>
      <c r="B2" s="58" t="s">
        <v>53</v>
      </c>
      <c r="C2" s="58"/>
      <c r="D2" s="58"/>
      <c r="E2" s="59"/>
    </row>
    <row r="3" spans="1:16">
      <c r="A3" s="170" t="s">
        <v>0</v>
      </c>
      <c r="B3" s="171" t="s">
        <v>1</v>
      </c>
      <c r="C3" s="172" t="s">
        <v>30</v>
      </c>
      <c r="D3" s="172" t="s">
        <v>3</v>
      </c>
      <c r="E3" s="173" t="s">
        <v>4</v>
      </c>
    </row>
    <row r="4" spans="1:16" ht="24">
      <c r="A4" s="34">
        <v>1</v>
      </c>
      <c r="B4" s="35" t="s">
        <v>94</v>
      </c>
      <c r="C4" s="36">
        <v>8</v>
      </c>
      <c r="D4" s="36">
        <v>1217</v>
      </c>
      <c r="E4" s="37">
        <f>Tabela8141924[[#This Row],[Coluna3]]*Tabela8141924[[#This Row],[Coluna2]]</f>
        <v>9736</v>
      </c>
      <c r="I4">
        <v>50000</v>
      </c>
      <c r="J4">
        <v>1.5</v>
      </c>
      <c r="K4">
        <v>2</v>
      </c>
      <c r="L4">
        <v>35213.22</v>
      </c>
      <c r="M4">
        <v>15884.8</v>
      </c>
      <c r="N4">
        <v>25.25</v>
      </c>
      <c r="O4">
        <v>800</v>
      </c>
      <c r="P4">
        <v>2</v>
      </c>
    </row>
    <row r="5" spans="1:16">
      <c r="A5" s="114">
        <v>2</v>
      </c>
      <c r="B5" s="115" t="str">
        <f>caiação!B4</f>
        <v>ENCARGOS SOCIAIS - MENSALISTAS - 83,39%</v>
      </c>
      <c r="C5" s="116">
        <v>8</v>
      </c>
      <c r="D5" s="116">
        <f>D4*0.8339</f>
        <v>1014.8562999999999</v>
      </c>
      <c r="E5" s="117">
        <f>Tabela8141924[[#This Row],[Coluna3]]*Tabela8141924[[#This Row],[Coluna2]]</f>
        <v>8118.8503999999994</v>
      </c>
    </row>
    <row r="6" spans="1:16" ht="24">
      <c r="A6" s="34">
        <v>3</v>
      </c>
      <c r="B6" s="35" t="str">
        <f>Tabela8141913[[#This Row],[Coluna2]]</f>
        <v>AUXILIO ALIMENTAÇÃO - CONVENÇÃO COLETIVA 2023 - STEAC/MS</v>
      </c>
      <c r="C6" s="36">
        <v>8</v>
      </c>
      <c r="D6" s="36">
        <v>290</v>
      </c>
      <c r="E6" s="37">
        <f>Tabela8141924[[#This Row],[Coluna3]]*Tabela8141924[[#This Row],[Coluna2]]</f>
        <v>2320</v>
      </c>
      <c r="J6">
        <f>I4*J4*K4+L4+M4</f>
        <v>201098.02</v>
      </c>
    </row>
    <row r="7" spans="1:16" ht="24">
      <c r="A7" s="114">
        <v>4</v>
      </c>
      <c r="B7" s="115" t="s">
        <v>90</v>
      </c>
      <c r="C7" s="116">
        <v>1</v>
      </c>
      <c r="D7" s="116">
        <v>1387.26</v>
      </c>
      <c r="E7" s="117">
        <f>Tabela8141924[[#This Row],[Coluna3]]*Tabela8141924[[#This Row],[Coluna2]]</f>
        <v>1387.26</v>
      </c>
      <c r="J7">
        <f>N4*O4*P4</f>
        <v>40400</v>
      </c>
    </row>
    <row r="8" spans="1:16">
      <c r="A8" s="34">
        <v>5</v>
      </c>
      <c r="B8" s="35" t="str">
        <f>B5</f>
        <v>ENCARGOS SOCIAIS - MENSALISTAS - 83,39%</v>
      </c>
      <c r="C8" s="36">
        <v>1</v>
      </c>
      <c r="D8" s="36">
        <f>D7*0.8339</f>
        <v>1156.836114</v>
      </c>
      <c r="E8" s="37">
        <f>Tabela8141924[[#This Row],[Coluna3]]*Tabela8141924[[#This Row],[Coluna2]]</f>
        <v>1156.836114</v>
      </c>
    </row>
    <row r="9" spans="1:16" ht="24">
      <c r="A9" s="114">
        <v>6</v>
      </c>
      <c r="B9" s="115" t="str">
        <f>B6</f>
        <v>AUXILIO ALIMENTAÇÃO - CONVENÇÃO COLETIVA 2023 - STEAC/MS</v>
      </c>
      <c r="C9" s="116">
        <f>C7</f>
        <v>1</v>
      </c>
      <c r="D9" s="116">
        <v>290</v>
      </c>
      <c r="E9" s="117">
        <f>Tabela8141924[[#This Row],[Coluna3]]*Tabela8141924[[#This Row],[Coluna2]]</f>
        <v>290</v>
      </c>
    </row>
    <row r="10" spans="1:16" ht="24">
      <c r="A10" s="34">
        <v>7</v>
      </c>
      <c r="B10" s="35" t="s">
        <v>91</v>
      </c>
      <c r="C10" s="36">
        <v>1</v>
      </c>
      <c r="D10" s="36">
        <v>1841.28</v>
      </c>
      <c r="E10" s="37">
        <f>Tabela8141924[[#This Row],[Coluna3]]*Tabela8141924[[#This Row],[Coluna2]]</f>
        <v>1841.28</v>
      </c>
      <c r="J10">
        <f>J6/J7</f>
        <v>4.977673762376237</v>
      </c>
    </row>
    <row r="11" spans="1:16">
      <c r="A11" s="114">
        <v>8</v>
      </c>
      <c r="B11" s="115" t="str">
        <f>B5</f>
        <v>ENCARGOS SOCIAIS - MENSALISTAS - 83,39%</v>
      </c>
      <c r="C11" s="116">
        <v>1</v>
      </c>
      <c r="D11" s="116">
        <f>D10*0.8339</f>
        <v>1535.4433919999999</v>
      </c>
      <c r="E11" s="117">
        <f>Tabela8141924[[#This Row],[Coluna3]]*Tabela8141924[[#This Row],[Coluna2]]</f>
        <v>1535.4433919999999</v>
      </c>
    </row>
    <row r="12" spans="1:16" ht="24">
      <c r="A12" s="34">
        <v>9</v>
      </c>
      <c r="B12" s="35" t="str">
        <f>B6</f>
        <v>AUXILIO ALIMENTAÇÃO - CONVENÇÃO COLETIVA 2023 - STEAC/MS</v>
      </c>
      <c r="C12" s="36">
        <f>C10</f>
        <v>1</v>
      </c>
      <c r="D12" s="36">
        <v>290</v>
      </c>
      <c r="E12" s="37">
        <f>Tabela8141924[[#This Row],[Coluna3]]*Tabela8141924[[#This Row],[Coluna2]]</f>
        <v>290</v>
      </c>
    </row>
    <row r="13" spans="1:16">
      <c r="A13" s="174"/>
      <c r="B13" s="121"/>
      <c r="C13" s="121"/>
      <c r="D13" s="121" t="s">
        <v>5</v>
      </c>
      <c r="E13" s="175">
        <f>SUBTOTAL(109,E4:E12)</f>
        <v>26675.669905999999</v>
      </c>
    </row>
    <row r="14" spans="1:16">
      <c r="A14" s="38"/>
      <c r="B14" s="76"/>
      <c r="C14" s="76"/>
      <c r="D14" s="76"/>
      <c r="E14" s="88"/>
    </row>
    <row r="15" spans="1:16">
      <c r="A15" s="89"/>
      <c r="B15" s="90" t="s">
        <v>61</v>
      </c>
      <c r="C15" s="58"/>
      <c r="D15" s="58"/>
      <c r="E15" s="59"/>
    </row>
    <row r="16" spans="1:16">
      <c r="A16" s="42" t="s">
        <v>0</v>
      </c>
      <c r="B16" s="32" t="s">
        <v>1</v>
      </c>
      <c r="C16" s="32" t="s">
        <v>30</v>
      </c>
      <c r="D16" s="32" t="s">
        <v>3</v>
      </c>
      <c r="E16" s="32" t="s">
        <v>4</v>
      </c>
    </row>
    <row r="17" spans="1:5" ht="24">
      <c r="A17" s="118">
        <v>1</v>
      </c>
      <c r="B17" s="119" t="str">
        <f>caiação!B16</f>
        <v>LUVA RASPA DE COURO, CANO CURTO                              SINAPI/FEV/2023</v>
      </c>
      <c r="C17" s="116">
        <f>C4</f>
        <v>8</v>
      </c>
      <c r="D17" s="116">
        <v>15</v>
      </c>
      <c r="E17" s="116">
        <f>Tabela9152025[[#This Row],[V. UNITÁRIO]]*Tabela9152025[[#This Row],[QUANT.]]</f>
        <v>120</v>
      </c>
    </row>
    <row r="18" spans="1:5" ht="24">
      <c r="A18" s="43">
        <v>2</v>
      </c>
      <c r="B18" s="44" t="str">
        <f>caiação!B18</f>
        <v>CAPA DE CHUVA                                                                            SINDUSCON/MS - MARÇO/2022</v>
      </c>
      <c r="C18" s="36">
        <f>C17</f>
        <v>8</v>
      </c>
      <c r="D18" s="36">
        <v>15</v>
      </c>
      <c r="E18" s="36">
        <f>Tabela9152025[[#This Row],[V. UNITÁRIO]]*Tabela9152025[[#This Row],[QUANT.]]</f>
        <v>120</v>
      </c>
    </row>
    <row r="19" spans="1:5" ht="24">
      <c r="A19" s="118">
        <v>3</v>
      </c>
      <c r="B19" s="119" t="str">
        <f>caiação!B19</f>
        <v>OCULOS DE SEGURANÇA                                       SINAPI/FEV/2023</v>
      </c>
      <c r="C19" s="116">
        <f>C17</f>
        <v>8</v>
      </c>
      <c r="D19" s="116">
        <v>16</v>
      </c>
      <c r="E19" s="116">
        <f>Tabela9152025[[#This Row],[V. UNITÁRIO]]*Tabela9152025[[#This Row],[QUANT.]]</f>
        <v>128</v>
      </c>
    </row>
    <row r="20" spans="1:5" ht="24">
      <c r="A20" s="43">
        <v>4</v>
      </c>
      <c r="B20" s="44" t="str">
        <f>caiação!B20</f>
        <v>MASCARA DESCARTAVEL                                                             SINDUSCON/MS - MARÇO/2022</v>
      </c>
      <c r="C20" s="36">
        <f>C21</f>
        <v>10</v>
      </c>
      <c r="D20" s="36">
        <v>2.5</v>
      </c>
      <c r="E20" s="36">
        <f>Tabela9152025[[#This Row],[V. UNITÁRIO]]*Tabela9152025[[#This Row],[QUANT.]]</f>
        <v>25</v>
      </c>
    </row>
    <row r="21" spans="1:5" ht="24">
      <c r="A21" s="118">
        <v>5</v>
      </c>
      <c r="B21" s="119" t="str">
        <f>caiação!B21</f>
        <v>BOTA DE SEGURANÇA                                                            SINAPI/FEV/2023</v>
      </c>
      <c r="C21" s="116">
        <f>C4+C7+C10</f>
        <v>10</v>
      </c>
      <c r="D21" s="116">
        <v>70</v>
      </c>
      <c r="E21" s="116">
        <f>Tabela9152025[[#This Row],[V. UNITÁRIO]]*Tabela9152025[[#This Row],[QUANT.]]</f>
        <v>700</v>
      </c>
    </row>
    <row r="22" spans="1:5">
      <c r="A22" s="43">
        <v>6</v>
      </c>
      <c r="B22" s="44" t="str">
        <f>caiação!B22</f>
        <v>UNIFORME COM FAIXA REFLETIVA                            COTAÇÃO</v>
      </c>
      <c r="C22" s="36">
        <f>C21</f>
        <v>10</v>
      </c>
      <c r="D22" s="36">
        <v>150</v>
      </c>
      <c r="E22" s="36">
        <f>Tabela9152025[[#This Row],[V. UNITÁRIO]]*Tabela9152025[[#This Row],[QUANT.]]</f>
        <v>1500</v>
      </c>
    </row>
    <row r="23" spans="1:5">
      <c r="A23" s="120"/>
      <c r="B23" s="162"/>
      <c r="C23" s="162"/>
      <c r="D23" s="163" t="s">
        <v>5</v>
      </c>
      <c r="E23" s="164">
        <f>SUBTOTAL(109,E17:E22)</f>
        <v>2593</v>
      </c>
    </row>
    <row r="24" spans="1:5">
      <c r="A24" s="73"/>
      <c r="B24" s="169" t="s">
        <v>54</v>
      </c>
      <c r="C24" s="66"/>
      <c r="D24" s="66"/>
      <c r="E24" s="91"/>
    </row>
    <row r="25" spans="1:5">
      <c r="A25" s="30" t="s">
        <v>0</v>
      </c>
      <c r="B25" s="31" t="s">
        <v>1</v>
      </c>
      <c r="C25" s="31" t="s">
        <v>30</v>
      </c>
      <c r="D25" s="31" t="s">
        <v>3</v>
      </c>
      <c r="E25" s="31" t="s">
        <v>4</v>
      </c>
    </row>
    <row r="26" spans="1:5">
      <c r="A26" s="114">
        <v>1</v>
      </c>
      <c r="B26" s="115" t="s">
        <v>23</v>
      </c>
      <c r="C26" s="116">
        <v>2</v>
      </c>
      <c r="D26" s="116">
        <v>26.9</v>
      </c>
      <c r="E26" s="116">
        <f>C26*D26</f>
        <v>53.8</v>
      </c>
    </row>
    <row r="27" spans="1:5" ht="24">
      <c r="A27" s="34">
        <v>2</v>
      </c>
      <c r="B27" s="35" t="s">
        <v>42</v>
      </c>
      <c r="C27" s="36">
        <v>2</v>
      </c>
      <c r="D27" s="36">
        <f>varrição!D28</f>
        <v>54.9</v>
      </c>
      <c r="E27" s="36">
        <f t="shared" ref="E27:E31" si="0">C27*D27</f>
        <v>109.8</v>
      </c>
    </row>
    <row r="28" spans="1:5">
      <c r="A28" s="114">
        <v>3</v>
      </c>
      <c r="B28" s="115" t="s">
        <v>25</v>
      </c>
      <c r="C28" s="116">
        <f>C26</f>
        <v>2</v>
      </c>
      <c r="D28" s="116">
        <f>varrição!D29</f>
        <v>49.9</v>
      </c>
      <c r="E28" s="116">
        <f t="shared" si="0"/>
        <v>99.8</v>
      </c>
    </row>
    <row r="29" spans="1:5" ht="24">
      <c r="A29" s="34">
        <v>4</v>
      </c>
      <c r="B29" s="35" t="s">
        <v>26</v>
      </c>
      <c r="C29" s="36">
        <f>C28</f>
        <v>2</v>
      </c>
      <c r="D29" s="36">
        <f>varrição!D30</f>
        <v>57.61</v>
      </c>
      <c r="E29" s="36">
        <f t="shared" si="0"/>
        <v>115.22</v>
      </c>
    </row>
    <row r="30" spans="1:5" ht="24">
      <c r="A30" s="114">
        <v>5</v>
      </c>
      <c r="B30" s="176" t="s">
        <v>34</v>
      </c>
      <c r="C30" s="116">
        <f>10*202</f>
        <v>2020</v>
      </c>
      <c r="D30" s="116">
        <v>6.67</v>
      </c>
      <c r="E30" s="116">
        <f t="shared" si="0"/>
        <v>13473.4</v>
      </c>
    </row>
    <row r="31" spans="1:5" ht="48">
      <c r="A31" s="34">
        <v>6</v>
      </c>
      <c r="B31" s="35" t="s">
        <v>149</v>
      </c>
      <c r="C31" s="36">
        <v>202</v>
      </c>
      <c r="D31" s="36">
        <v>196.17</v>
      </c>
      <c r="E31" s="36">
        <f t="shared" si="0"/>
        <v>39626.339999999997</v>
      </c>
    </row>
    <row r="32" spans="1:5">
      <c r="A32" s="120"/>
      <c r="B32" s="121"/>
      <c r="C32" s="121"/>
      <c r="D32" s="122" t="s">
        <v>5</v>
      </c>
      <c r="E32" s="123">
        <f>SUBTOTAL(109,E26:E31)</f>
        <v>53478.36</v>
      </c>
    </row>
    <row r="33" spans="1:5">
      <c r="A33" s="89"/>
      <c r="B33" s="169" t="s">
        <v>58</v>
      </c>
      <c r="C33" s="66"/>
      <c r="D33" s="66"/>
      <c r="E33" s="91"/>
    </row>
    <row r="34" spans="1:5">
      <c r="A34" s="30" t="s">
        <v>0</v>
      </c>
      <c r="B34" s="31" t="s">
        <v>1</v>
      </c>
      <c r="C34" s="31" t="s">
        <v>4</v>
      </c>
      <c r="D34" s="41"/>
      <c r="E34" s="41"/>
    </row>
    <row r="35" spans="1:5">
      <c r="A35" s="114">
        <v>1</v>
      </c>
      <c r="B35" s="115" t="s">
        <v>6</v>
      </c>
      <c r="C35" s="165">
        <f>E13</f>
        <v>26675.669905999999</v>
      </c>
      <c r="D35" s="41"/>
      <c r="E35" s="41"/>
    </row>
    <row r="36" spans="1:5">
      <c r="A36" s="34">
        <v>2</v>
      </c>
      <c r="B36" s="35" t="s">
        <v>7</v>
      </c>
      <c r="C36" s="49">
        <f>E23</f>
        <v>2593</v>
      </c>
      <c r="D36" s="41"/>
      <c r="E36" s="41"/>
    </row>
    <row r="37" spans="1:5">
      <c r="A37" s="114">
        <v>3</v>
      </c>
      <c r="B37" s="115" t="s">
        <v>8</v>
      </c>
      <c r="C37" s="165">
        <f>E32</f>
        <v>53478.36</v>
      </c>
      <c r="D37" s="41"/>
      <c r="E37" s="41"/>
    </row>
    <row r="38" spans="1:5">
      <c r="A38" s="38"/>
      <c r="B38" s="50"/>
      <c r="C38" s="40">
        <f>SUBTOTAL(109,C35:C37)</f>
        <v>82747.029905999996</v>
      </c>
      <c r="D38" s="41"/>
      <c r="E38" s="41"/>
    </row>
    <row r="39" spans="1:5">
      <c r="A39" s="196"/>
      <c r="B39" s="197" t="s">
        <v>59</v>
      </c>
      <c r="C39" s="198"/>
      <c r="D39" s="199"/>
      <c r="E39" s="59"/>
    </row>
    <row r="40" spans="1:5">
      <c r="A40" s="30" t="s">
        <v>0</v>
      </c>
      <c r="B40" s="31" t="s">
        <v>1</v>
      </c>
      <c r="C40" s="31" t="s">
        <v>9</v>
      </c>
      <c r="D40" s="51" t="s">
        <v>3</v>
      </c>
      <c r="E40" s="41"/>
    </row>
    <row r="41" spans="1:5">
      <c r="A41" s="114">
        <v>1</v>
      </c>
      <c r="B41" s="127" t="s">
        <v>35</v>
      </c>
      <c r="C41" s="141" t="s">
        <v>29</v>
      </c>
      <c r="D41" s="177">
        <f>C38</f>
        <v>82747.029905999996</v>
      </c>
      <c r="E41" s="41"/>
    </row>
    <row r="42" spans="1:5">
      <c r="A42" s="34">
        <v>2</v>
      </c>
      <c r="B42" s="52" t="s">
        <v>36</v>
      </c>
      <c r="C42" s="53" t="s">
        <v>37</v>
      </c>
      <c r="D42" s="87">
        <f>316212/6</f>
        <v>52702</v>
      </c>
      <c r="E42" s="41"/>
    </row>
    <row r="43" spans="1:5">
      <c r="A43" s="130">
        <v>3</v>
      </c>
      <c r="B43" s="131" t="s">
        <v>84</v>
      </c>
      <c r="C43" s="132" t="s">
        <v>38</v>
      </c>
      <c r="D43" s="178">
        <f>D41/D42</f>
        <v>1.5700927840689156</v>
      </c>
      <c r="E43" s="41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6E2F-32F7-4C61-A926-41D5184C973C}">
  <dimension ref="A1:H41"/>
  <sheetViews>
    <sheetView zoomScaleNormal="100" workbookViewId="0">
      <selection activeCell="E55" sqref="E55"/>
    </sheetView>
  </sheetViews>
  <sheetFormatPr defaultRowHeight="15"/>
  <cols>
    <col min="2" max="2" width="51.85546875" customWidth="1"/>
    <col min="3" max="3" width="16.140625" customWidth="1"/>
    <col min="4" max="4" width="17.140625" customWidth="1"/>
    <col min="5" max="5" width="16.42578125" customWidth="1"/>
  </cols>
  <sheetData>
    <row r="1" spans="1:5">
      <c r="A1" s="57" t="s">
        <v>47</v>
      </c>
      <c r="B1" s="58" t="s">
        <v>53</v>
      </c>
      <c r="C1" s="58" t="s">
        <v>48</v>
      </c>
      <c r="D1" s="58" t="s">
        <v>49</v>
      </c>
      <c r="E1" s="59" t="s">
        <v>50</v>
      </c>
    </row>
    <row r="2" spans="1:5">
      <c r="A2" s="57"/>
      <c r="B2" s="58" t="s">
        <v>53</v>
      </c>
      <c r="C2" s="58"/>
      <c r="D2" s="58"/>
      <c r="E2" s="59"/>
    </row>
    <row r="3" spans="1:5">
      <c r="A3" s="170" t="s">
        <v>0</v>
      </c>
      <c r="B3" s="171" t="s">
        <v>1</v>
      </c>
      <c r="C3" s="172" t="s">
        <v>30</v>
      </c>
      <c r="D3" s="172" t="s">
        <v>3</v>
      </c>
      <c r="E3" s="173" t="s">
        <v>4</v>
      </c>
    </row>
    <row r="4" spans="1:5" ht="24">
      <c r="A4" s="34">
        <v>1</v>
      </c>
      <c r="B4" s="35" t="s">
        <v>95</v>
      </c>
      <c r="C4" s="36">
        <v>2</v>
      </c>
      <c r="D4" s="36">
        <v>1217</v>
      </c>
      <c r="E4" s="37">
        <f>Tabela81419242[[#This Row],[Coluna3]]*Tabela81419242[[#This Row],[Coluna2]]</f>
        <v>2434</v>
      </c>
    </row>
    <row r="5" spans="1:5">
      <c r="A5" s="114">
        <v>2</v>
      </c>
      <c r="B5" s="115" t="str">
        <f>caiação!B4</f>
        <v>ENCARGOS SOCIAIS - MENSALISTAS - 83,39%</v>
      </c>
      <c r="C5" s="116">
        <v>2</v>
      </c>
      <c r="D5" s="116">
        <f>D4*0.8339</f>
        <v>1014.8562999999999</v>
      </c>
      <c r="E5" s="117">
        <f>Tabela81419242[[#This Row],[Coluna3]]*Tabela81419242[[#This Row],[Coluna2]]</f>
        <v>2029.7125999999998</v>
      </c>
    </row>
    <row r="6" spans="1:5" ht="24">
      <c r="A6" s="34">
        <v>3</v>
      </c>
      <c r="B6" s="35" t="str">
        <f>Tabela8141913[[#This Row],[Coluna2]]</f>
        <v>AUXILIO ALIMENTAÇÃO - CONVENÇÃO COLETIVA 2023 - STEAC/MS</v>
      </c>
      <c r="C6" s="36">
        <v>2</v>
      </c>
      <c r="D6" s="36">
        <v>290</v>
      </c>
      <c r="E6" s="37">
        <f>Tabela81419242[[#This Row],[Coluna3]]*Tabela81419242[[#This Row],[Coluna2]]</f>
        <v>580</v>
      </c>
    </row>
    <row r="7" spans="1:5" ht="24">
      <c r="A7" s="114">
        <v>4</v>
      </c>
      <c r="B7" s="115" t="s">
        <v>90</v>
      </c>
      <c r="C7" s="116">
        <v>1</v>
      </c>
      <c r="D7" s="116">
        <v>1387.26</v>
      </c>
      <c r="E7" s="117">
        <f>Tabela81419242[[#This Row],[Coluna3]]*Tabela81419242[[#This Row],[Coluna2]]</f>
        <v>1387.26</v>
      </c>
    </row>
    <row r="8" spans="1:5">
      <c r="A8" s="34">
        <v>5</v>
      </c>
      <c r="B8" s="35" t="str">
        <f>B5</f>
        <v>ENCARGOS SOCIAIS - MENSALISTAS - 83,39%</v>
      </c>
      <c r="C8" s="36">
        <v>1</v>
      </c>
      <c r="D8" s="36">
        <f>D7*0.8339</f>
        <v>1156.836114</v>
      </c>
      <c r="E8" s="37">
        <f>Tabela81419242[[#This Row],[Coluna3]]*Tabela81419242[[#This Row],[Coluna2]]</f>
        <v>1156.836114</v>
      </c>
    </row>
    <row r="9" spans="1:5" ht="24">
      <c r="A9" s="114">
        <v>6</v>
      </c>
      <c r="B9" s="115" t="str">
        <f>B6</f>
        <v>AUXILIO ALIMENTAÇÃO - CONVENÇÃO COLETIVA 2023 - STEAC/MS</v>
      </c>
      <c r="C9" s="116">
        <f>C7</f>
        <v>1</v>
      </c>
      <c r="D9" s="116">
        <v>290</v>
      </c>
      <c r="E9" s="117">
        <f>Tabela81419242[[#This Row],[Coluna3]]*Tabela81419242[[#This Row],[Coluna2]]</f>
        <v>290</v>
      </c>
    </row>
    <row r="10" spans="1:5" ht="24">
      <c r="A10" s="34">
        <v>7</v>
      </c>
      <c r="B10" s="35" t="s">
        <v>91</v>
      </c>
      <c r="C10" s="36">
        <v>2</v>
      </c>
      <c r="D10" s="36">
        <v>1841.28</v>
      </c>
      <c r="E10" s="37">
        <f>Tabela81419242[[#This Row],[Coluna3]]*Tabela81419242[[#This Row],[Coluna2]]</f>
        <v>3682.56</v>
      </c>
    </row>
    <row r="11" spans="1:5">
      <c r="A11" s="114">
        <v>8</v>
      </c>
      <c r="B11" s="115" t="str">
        <f>B5</f>
        <v>ENCARGOS SOCIAIS - MENSALISTAS - 83,39%</v>
      </c>
      <c r="C11" s="116">
        <v>2</v>
      </c>
      <c r="D11" s="116">
        <f>D10*0.8339</f>
        <v>1535.4433919999999</v>
      </c>
      <c r="E11" s="117">
        <f>Tabela81419242[[#This Row],[Coluna3]]*Tabela81419242[[#This Row],[Coluna2]]</f>
        <v>3070.8867839999998</v>
      </c>
    </row>
    <row r="12" spans="1:5" ht="24">
      <c r="A12" s="34">
        <v>9</v>
      </c>
      <c r="B12" s="35" t="str">
        <f>B6</f>
        <v>AUXILIO ALIMENTAÇÃO - CONVENÇÃO COLETIVA 2023 - STEAC/MS</v>
      </c>
      <c r="C12" s="36">
        <f>C10</f>
        <v>2</v>
      </c>
      <c r="D12" s="36">
        <v>290</v>
      </c>
      <c r="E12" s="37">
        <f>Tabela81419242[[#This Row],[Coluna3]]*Tabela81419242[[#This Row],[Coluna2]]</f>
        <v>580</v>
      </c>
    </row>
    <row r="13" spans="1:5">
      <c r="A13" s="174"/>
      <c r="B13" s="121"/>
      <c r="C13" s="121"/>
      <c r="D13" s="121" t="s">
        <v>5</v>
      </c>
      <c r="E13" s="175">
        <f>SUBTOTAL(109,E4:E12)</f>
        <v>15211.255498</v>
      </c>
    </row>
    <row r="14" spans="1:5">
      <c r="A14" s="38"/>
      <c r="B14" s="76"/>
      <c r="C14" s="76"/>
      <c r="D14" s="76"/>
      <c r="E14" s="88"/>
    </row>
    <row r="15" spans="1:5">
      <c r="A15" s="89"/>
      <c r="B15" s="90" t="s">
        <v>61</v>
      </c>
      <c r="C15" s="58"/>
      <c r="D15" s="58"/>
      <c r="E15" s="59"/>
    </row>
    <row r="16" spans="1:5">
      <c r="A16" s="42" t="s">
        <v>0</v>
      </c>
      <c r="B16" s="32" t="s">
        <v>1</v>
      </c>
      <c r="C16" s="32" t="s">
        <v>30</v>
      </c>
      <c r="D16" s="32" t="s">
        <v>3</v>
      </c>
      <c r="E16" s="32" t="s">
        <v>4</v>
      </c>
    </row>
    <row r="17" spans="1:8" ht="24">
      <c r="A17" s="118">
        <v>1</v>
      </c>
      <c r="B17" s="119" t="str">
        <f>caiação!B16</f>
        <v>LUVA RASPA DE COURO, CANO CURTO                              SINAPI/FEV/2023</v>
      </c>
      <c r="C17" s="116">
        <v>4</v>
      </c>
      <c r="D17" s="116">
        <v>15</v>
      </c>
      <c r="E17" s="116">
        <f>Tabela915202513[[#This Row],[V. UNITÁRIO]]*Tabela915202513[[#This Row],[QUANT.]]</f>
        <v>60</v>
      </c>
      <c r="H17" s="231"/>
    </row>
    <row r="18" spans="1:8" ht="24">
      <c r="A18" s="43">
        <v>2</v>
      </c>
      <c r="B18" s="44" t="str">
        <f>caiação!B18</f>
        <v>CAPA DE CHUVA                                                                            SINDUSCON/MS - MARÇO/2022</v>
      </c>
      <c r="C18" s="36">
        <v>4</v>
      </c>
      <c r="D18" s="36">
        <v>15</v>
      </c>
      <c r="E18" s="36">
        <f>Tabela915202513[[#This Row],[V. UNITÁRIO]]*Tabela915202513[[#This Row],[QUANT.]]</f>
        <v>60</v>
      </c>
    </row>
    <row r="19" spans="1:8" ht="24">
      <c r="A19" s="118">
        <v>3</v>
      </c>
      <c r="B19" s="119" t="str">
        <f>caiação!B19</f>
        <v>OCULOS DE SEGURANÇA                                       SINAPI/FEV/2023</v>
      </c>
      <c r="C19" s="116">
        <v>4</v>
      </c>
      <c r="D19" s="116">
        <v>16</v>
      </c>
      <c r="E19" s="116">
        <f>Tabela915202513[[#This Row],[V. UNITÁRIO]]*Tabela915202513[[#This Row],[QUANT.]]</f>
        <v>64</v>
      </c>
    </row>
    <row r="20" spans="1:8" ht="24">
      <c r="A20" s="43">
        <v>4</v>
      </c>
      <c r="B20" s="44" t="str">
        <f>caiação!B20</f>
        <v>MASCARA DESCARTAVEL                                                             SINDUSCON/MS - MARÇO/2022</v>
      </c>
      <c r="C20" s="36">
        <v>4</v>
      </c>
      <c r="D20" s="36">
        <v>2.5</v>
      </c>
      <c r="E20" s="36">
        <f>Tabela915202513[[#This Row],[V. UNITÁRIO]]*Tabela915202513[[#This Row],[QUANT.]]</f>
        <v>10</v>
      </c>
    </row>
    <row r="21" spans="1:8" ht="24">
      <c r="A21" s="118">
        <v>5</v>
      </c>
      <c r="B21" s="119" t="str">
        <f>caiação!B21</f>
        <v>BOTA DE SEGURANÇA                                                            SINAPI/FEV/2023</v>
      </c>
      <c r="C21" s="116">
        <f>C4+C7+C10</f>
        <v>5</v>
      </c>
      <c r="D21" s="116">
        <v>70</v>
      </c>
      <c r="E21" s="116">
        <f>Tabela915202513[[#This Row],[V. UNITÁRIO]]*Tabela915202513[[#This Row],[QUANT.]]</f>
        <v>350</v>
      </c>
    </row>
    <row r="22" spans="1:8">
      <c r="A22" s="43">
        <v>6</v>
      </c>
      <c r="B22" s="44" t="str">
        <f>caiação!B22</f>
        <v>UNIFORME COM FAIXA REFLETIVA                            COTAÇÃO</v>
      </c>
      <c r="C22" s="36">
        <f>C21</f>
        <v>5</v>
      </c>
      <c r="D22" s="36">
        <v>150</v>
      </c>
      <c r="E22" s="36">
        <f>Tabela915202513[[#This Row],[V. UNITÁRIO]]*Tabela915202513[[#This Row],[QUANT.]]</f>
        <v>750</v>
      </c>
    </row>
    <row r="23" spans="1:8">
      <c r="A23" s="120"/>
      <c r="B23" s="162"/>
      <c r="C23" s="162"/>
      <c r="D23" s="163" t="s">
        <v>5</v>
      </c>
      <c r="E23" s="164">
        <f>SUBTOTAL(109,E17:E22)</f>
        <v>1294</v>
      </c>
    </row>
    <row r="24" spans="1:8">
      <c r="A24" s="73"/>
      <c r="B24" s="169" t="s">
        <v>54</v>
      </c>
      <c r="C24" s="66"/>
      <c r="D24" s="66"/>
      <c r="E24" s="91"/>
    </row>
    <row r="25" spans="1:8">
      <c r="A25" s="55" t="s">
        <v>0</v>
      </c>
      <c r="B25" s="55" t="s">
        <v>1</v>
      </c>
      <c r="C25" s="55" t="s">
        <v>30</v>
      </c>
      <c r="D25" s="55" t="s">
        <v>3</v>
      </c>
      <c r="E25" s="55" t="s">
        <v>4</v>
      </c>
    </row>
    <row r="26" spans="1:8">
      <c r="A26" s="141">
        <v>1</v>
      </c>
      <c r="B26" s="115" t="s">
        <v>23</v>
      </c>
      <c r="C26" s="116">
        <v>2</v>
      </c>
      <c r="D26" s="116">
        <v>26.9</v>
      </c>
      <c r="E26" s="116">
        <f>C26*D26</f>
        <v>53.8</v>
      </c>
    </row>
    <row r="27" spans="1:8" ht="24">
      <c r="A27" s="53">
        <v>2</v>
      </c>
      <c r="B27" s="35" t="s">
        <v>42</v>
      </c>
      <c r="C27" s="36">
        <v>2</v>
      </c>
      <c r="D27" s="36">
        <f>varrição!D28</f>
        <v>54.9</v>
      </c>
      <c r="E27" s="36">
        <f t="shared" ref="E27" si="0">C27*D27</f>
        <v>109.8</v>
      </c>
    </row>
    <row r="28" spans="1:8">
      <c r="A28" s="141">
        <v>3</v>
      </c>
      <c r="B28" s="115" t="s">
        <v>25</v>
      </c>
      <c r="C28" s="116">
        <v>2</v>
      </c>
      <c r="D28" s="116">
        <f>varrição!D27</f>
        <v>6.5</v>
      </c>
      <c r="E28" s="116">
        <f t="shared" ref="E28:E29" si="1">C28*D28</f>
        <v>13</v>
      </c>
    </row>
    <row r="29" spans="1:8" ht="24">
      <c r="A29" s="53">
        <v>4</v>
      </c>
      <c r="B29" s="35" t="s">
        <v>26</v>
      </c>
      <c r="C29" s="36">
        <v>2</v>
      </c>
      <c r="D29" s="36">
        <f>varrição!D28</f>
        <v>54.9</v>
      </c>
      <c r="E29" s="36">
        <f t="shared" si="1"/>
        <v>109.8</v>
      </c>
    </row>
    <row r="30" spans="1:8" ht="18" customHeight="1">
      <c r="A30" s="232"/>
      <c r="B30" s="81"/>
      <c r="C30" s="81"/>
      <c r="D30" s="233" t="s">
        <v>5</v>
      </c>
      <c r="E30" s="84">
        <f>SUBTOTAL(109,E26:E29)</f>
        <v>286.39999999999998</v>
      </c>
    </row>
    <row r="31" spans="1:8">
      <c r="A31" s="89"/>
      <c r="B31" s="169" t="s">
        <v>58</v>
      </c>
      <c r="C31" s="66"/>
      <c r="D31" s="66"/>
      <c r="E31" s="91"/>
    </row>
    <row r="32" spans="1:8">
      <c r="A32" s="30" t="s">
        <v>0</v>
      </c>
      <c r="B32" s="31" t="s">
        <v>1</v>
      </c>
      <c r="C32" s="31" t="s">
        <v>4</v>
      </c>
      <c r="D32" s="41"/>
      <c r="E32" s="41"/>
    </row>
    <row r="33" spans="1:5">
      <c r="A33" s="114">
        <v>1</v>
      </c>
      <c r="B33" s="115" t="s">
        <v>6</v>
      </c>
      <c r="C33" s="165">
        <f>E13</f>
        <v>15211.255498</v>
      </c>
      <c r="D33" s="41"/>
      <c r="E33" s="41"/>
    </row>
    <row r="34" spans="1:5">
      <c r="A34" s="34">
        <v>2</v>
      </c>
      <c r="B34" s="35" t="s">
        <v>7</v>
      </c>
      <c r="C34" s="49">
        <f>E23</f>
        <v>1294</v>
      </c>
      <c r="D34" s="41"/>
      <c r="E34" s="41"/>
    </row>
    <row r="35" spans="1:5">
      <c r="A35" s="114">
        <v>3</v>
      </c>
      <c r="B35" s="115" t="s">
        <v>8</v>
      </c>
      <c r="C35" s="165">
        <f>E30</f>
        <v>286.39999999999998</v>
      </c>
      <c r="D35" s="41"/>
      <c r="E35" s="41"/>
    </row>
    <row r="36" spans="1:5">
      <c r="A36" s="38"/>
      <c r="B36" s="50"/>
      <c r="C36" s="40">
        <f>SUBTOTAL(109,C33:C35)</f>
        <v>16791.655498</v>
      </c>
      <c r="D36" s="41"/>
      <c r="E36" s="41"/>
    </row>
    <row r="37" spans="1:5">
      <c r="A37" s="196"/>
      <c r="B37" s="197" t="s">
        <v>59</v>
      </c>
      <c r="C37" s="198"/>
      <c r="D37" s="199"/>
      <c r="E37" s="59"/>
    </row>
    <row r="38" spans="1:5">
      <c r="A38" s="30" t="s">
        <v>0</v>
      </c>
      <c r="B38" s="31" t="s">
        <v>1</v>
      </c>
      <c r="C38" s="31" t="s">
        <v>9</v>
      </c>
      <c r="D38" s="51" t="s">
        <v>3</v>
      </c>
      <c r="E38" s="41"/>
    </row>
    <row r="39" spans="1:5">
      <c r="A39" s="114">
        <v>1</v>
      </c>
      <c r="B39" s="127" t="s">
        <v>80</v>
      </c>
      <c r="C39" s="141" t="s">
        <v>29</v>
      </c>
      <c r="D39" s="177">
        <f>C36</f>
        <v>16791.655498</v>
      </c>
      <c r="E39" s="41"/>
    </row>
    <row r="40" spans="1:5">
      <c r="A40" s="34">
        <v>2</v>
      </c>
      <c r="B40" s="52" t="s">
        <v>81</v>
      </c>
      <c r="C40" s="53" t="s">
        <v>32</v>
      </c>
      <c r="D40" s="87">
        <f>600/12</f>
        <v>50</v>
      </c>
      <c r="E40" s="41"/>
    </row>
    <row r="41" spans="1:5">
      <c r="A41" s="130">
        <v>3</v>
      </c>
      <c r="B41" s="131" t="s">
        <v>82</v>
      </c>
      <c r="C41" s="132" t="s">
        <v>33</v>
      </c>
      <c r="D41" s="178">
        <f>D39/D40</f>
        <v>335.83310996</v>
      </c>
      <c r="E41" s="4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5B87-4900-47C5-986D-F19DBF3CBC82}">
  <dimension ref="A1:E43"/>
  <sheetViews>
    <sheetView topLeftCell="A14" zoomScale="85" zoomScaleNormal="85" workbookViewId="0">
      <selection activeCell="E32" sqref="E32"/>
    </sheetView>
  </sheetViews>
  <sheetFormatPr defaultRowHeight="15"/>
  <cols>
    <col min="2" max="2" width="49.5703125" customWidth="1"/>
    <col min="3" max="3" width="16.140625" customWidth="1"/>
    <col min="4" max="4" width="17.140625" customWidth="1"/>
    <col min="5" max="5" width="16.42578125" customWidth="1"/>
  </cols>
  <sheetData>
    <row r="1" spans="1:5">
      <c r="A1" s="27" t="s">
        <v>47</v>
      </c>
      <c r="B1" s="25" t="s">
        <v>48</v>
      </c>
      <c r="C1" s="28" t="s">
        <v>49</v>
      </c>
      <c r="D1" s="28" t="s">
        <v>50</v>
      </c>
      <c r="E1" s="29" t="s">
        <v>51</v>
      </c>
    </row>
    <row r="2" spans="1:5">
      <c r="A2" s="57"/>
      <c r="B2" s="136" t="s">
        <v>53</v>
      </c>
      <c r="C2" s="58"/>
      <c r="D2" s="58"/>
      <c r="E2" s="59"/>
    </row>
    <row r="3" spans="1:5">
      <c r="A3" s="179" t="s">
        <v>0</v>
      </c>
      <c r="B3" s="179" t="s">
        <v>1</v>
      </c>
      <c r="C3" s="179" t="s">
        <v>30</v>
      </c>
      <c r="D3" s="179" t="s">
        <v>3</v>
      </c>
      <c r="E3" s="179" t="s">
        <v>4</v>
      </c>
    </row>
    <row r="4" spans="1:5" ht="36">
      <c r="A4" s="114">
        <v>1</v>
      </c>
      <c r="B4" s="115" t="s">
        <v>96</v>
      </c>
      <c r="C4" s="116">
        <v>2</v>
      </c>
      <c r="D4" s="116">
        <f>varrição!D4</f>
        <v>1325</v>
      </c>
      <c r="E4" s="117">
        <f>Tabela8141913[[#This Row],[Coluna4]]*Tabela8141913[[#This Row],[Coluna3]]</f>
        <v>2650</v>
      </c>
    </row>
    <row r="5" spans="1:5">
      <c r="A5" s="34">
        <v>2</v>
      </c>
      <c r="B5" s="35" t="str">
        <f>varrição!B5</f>
        <v>ENCARGOS SOCIAIS - MENSALISTAS - 83,39%</v>
      </c>
      <c r="C5" s="36">
        <v>2</v>
      </c>
      <c r="D5" s="36">
        <f>D4*0.8339</f>
        <v>1104.9175</v>
      </c>
      <c r="E5" s="37">
        <f>Tabela8141913[[#This Row],[Coluna4]]*Tabela8141913[[#This Row],[Coluna3]]</f>
        <v>2209.835</v>
      </c>
    </row>
    <row r="6" spans="1:5" ht="24">
      <c r="A6" s="114">
        <v>3</v>
      </c>
      <c r="B6" s="115" t="str">
        <f>caiação!B5</f>
        <v>AUXILIO ALIMENTAÇÃO - CONVENÇÃO COLETIVA 2023 - STEAC/MS</v>
      </c>
      <c r="C6" s="116">
        <v>2</v>
      </c>
      <c r="D6" s="116">
        <f>Tabela8[[#This Row],[Coluna3]]</f>
        <v>290</v>
      </c>
      <c r="E6" s="117">
        <f>Tabela8141913[[#This Row],[Coluna4]]*Tabela8141913[[#This Row],[Coluna3]]</f>
        <v>580</v>
      </c>
    </row>
    <row r="7" spans="1:5" ht="24">
      <c r="A7" s="34">
        <v>4</v>
      </c>
      <c r="B7" s="35" t="s">
        <v>90</v>
      </c>
      <c r="C7" s="36">
        <v>1</v>
      </c>
      <c r="D7" s="36">
        <f>roçada!D7</f>
        <v>1387.26</v>
      </c>
      <c r="E7" s="37">
        <f>Tabela8141913[[#This Row],[Coluna4]]*Tabela8141913[[#This Row],[Coluna3]]</f>
        <v>1387.26</v>
      </c>
    </row>
    <row r="8" spans="1:5">
      <c r="A8" s="114">
        <v>5</v>
      </c>
      <c r="B8" s="115" t="str">
        <f>B5</f>
        <v>ENCARGOS SOCIAIS - MENSALISTAS - 83,39%</v>
      </c>
      <c r="C8" s="116">
        <v>1</v>
      </c>
      <c r="D8" s="116">
        <f>D7*0.8339</f>
        <v>1156.836114</v>
      </c>
      <c r="E8" s="117">
        <f>Tabela8141913[[#This Row],[Coluna4]]*Tabela8141913[[#This Row],[Coluna3]]</f>
        <v>1156.836114</v>
      </c>
    </row>
    <row r="9" spans="1:5" ht="24">
      <c r="A9" s="34">
        <v>6</v>
      </c>
      <c r="B9" s="35" t="str">
        <f>B6</f>
        <v>AUXILIO ALIMENTAÇÃO - CONVENÇÃO COLETIVA 2023 - STEAC/MS</v>
      </c>
      <c r="C9" s="36">
        <v>1</v>
      </c>
      <c r="D9" s="36">
        <f>D6</f>
        <v>290</v>
      </c>
      <c r="E9" s="37">
        <f>Tabela8141913[[#This Row],[Coluna4]]*Tabela8141913[[#This Row],[Coluna3]]</f>
        <v>290</v>
      </c>
    </row>
    <row r="10" spans="1:5" ht="24">
      <c r="A10" s="114">
        <v>7</v>
      </c>
      <c r="B10" s="115" t="s">
        <v>91</v>
      </c>
      <c r="C10" s="116">
        <v>1</v>
      </c>
      <c r="D10" s="116">
        <f>caiação!D9</f>
        <v>1971.13</v>
      </c>
      <c r="E10" s="117">
        <f>Tabela8141913[[#This Row],[Coluna4]]*Tabela8141913[[#This Row],[Coluna3]]</f>
        <v>1971.13</v>
      </c>
    </row>
    <row r="11" spans="1:5">
      <c r="A11" s="34">
        <v>8</v>
      </c>
      <c r="B11" s="35" t="str">
        <f>B5</f>
        <v>ENCARGOS SOCIAIS - MENSALISTAS - 83,39%</v>
      </c>
      <c r="C11" s="36">
        <v>1</v>
      </c>
      <c r="D11" s="36">
        <f>D10*0.8339</f>
        <v>1643.7253069999999</v>
      </c>
      <c r="E11" s="37">
        <f>Tabela8141913[[#This Row],[Coluna4]]*Tabela8141913[[#This Row],[Coluna3]]</f>
        <v>1643.7253069999999</v>
      </c>
    </row>
    <row r="12" spans="1:5" ht="24">
      <c r="A12" s="114">
        <v>9</v>
      </c>
      <c r="B12" s="115" t="str">
        <f>B6</f>
        <v>AUXILIO ALIMENTAÇÃO - CONVENÇÃO COLETIVA 2023 - STEAC/MS</v>
      </c>
      <c r="C12" s="116">
        <v>1</v>
      </c>
      <c r="D12" s="116">
        <f>D6</f>
        <v>290</v>
      </c>
      <c r="E12" s="117">
        <f>Tabela8141913[[#This Row],[Coluna4]]*Tabela8141913[[#This Row],[Coluna3]]</f>
        <v>290</v>
      </c>
    </row>
    <row r="13" spans="1:5">
      <c r="A13" s="38"/>
      <c r="B13" s="39"/>
      <c r="C13" s="39"/>
      <c r="D13" s="39" t="s">
        <v>5</v>
      </c>
      <c r="E13" s="40">
        <f>SUBTOTAL(109,E4:E12)</f>
        <v>12178.786421000001</v>
      </c>
    </row>
    <row r="14" spans="1:5">
      <c r="A14" s="41"/>
      <c r="B14" s="41"/>
      <c r="C14" s="41"/>
      <c r="D14" s="41"/>
      <c r="E14" s="41"/>
    </row>
    <row r="15" spans="1:5">
      <c r="A15" s="92"/>
      <c r="B15" s="90" t="s">
        <v>61</v>
      </c>
      <c r="C15" s="58"/>
      <c r="D15" s="58"/>
      <c r="E15" s="59"/>
    </row>
    <row r="16" spans="1:5">
      <c r="A16" s="42" t="s">
        <v>0</v>
      </c>
      <c r="B16" s="32" t="s">
        <v>1</v>
      </c>
      <c r="C16" s="32" t="s">
        <v>30</v>
      </c>
      <c r="D16" s="32" t="s">
        <v>3</v>
      </c>
      <c r="E16" s="32" t="s">
        <v>4</v>
      </c>
    </row>
    <row r="17" spans="1:5" ht="24">
      <c r="A17" s="118">
        <v>1</v>
      </c>
      <c r="B17" s="119" t="str">
        <f>Tabela9152025[[#This Row],[DESCRIÇÃO]]</f>
        <v>LUVA RASPA DE COURO, CANO CURTO                              SINAPI/FEV/2023</v>
      </c>
      <c r="C17" s="116">
        <f>C4</f>
        <v>2</v>
      </c>
      <c r="D17" s="116">
        <f>[3]caiação!D14</f>
        <v>15</v>
      </c>
      <c r="E17" s="116">
        <f>Tabela9152014[[#This Row],[V. UNITÁRIO]]*Tabela9152014[[#This Row],[QUANT.]]</f>
        <v>30</v>
      </c>
    </row>
    <row r="18" spans="1:5" ht="24">
      <c r="A18" s="43">
        <v>2</v>
      </c>
      <c r="B18" s="44" t="str">
        <f>caiação!B18</f>
        <v>CAPA DE CHUVA                                                                            SINDUSCON/MS - MARÇO/2022</v>
      </c>
      <c r="C18" s="36">
        <f>C17</f>
        <v>2</v>
      </c>
      <c r="D18" s="36">
        <v>15</v>
      </c>
      <c r="E18" s="36">
        <f>Tabela9152014[[#This Row],[V. UNITÁRIO]]*Tabela9152014[[#This Row],[QUANT.]]</f>
        <v>30</v>
      </c>
    </row>
    <row r="19" spans="1:5" ht="24">
      <c r="A19" s="118">
        <v>3</v>
      </c>
      <c r="B19" s="119" t="str">
        <f>caiação!B17</f>
        <v>LUVA DE PVC                                                                          SINDUSCON/MS -  MARÇO/2022</v>
      </c>
      <c r="C19" s="116">
        <f>C17</f>
        <v>2</v>
      </c>
      <c r="D19" s="116">
        <f>caiação!D17</f>
        <v>6</v>
      </c>
      <c r="E19" s="116">
        <f>Tabela9152014[[#This Row],[V. UNITÁRIO]]*Tabela9152014[[#This Row],[QUANT.]]</f>
        <v>12</v>
      </c>
    </row>
    <row r="20" spans="1:5" ht="24">
      <c r="A20" s="43">
        <v>4</v>
      </c>
      <c r="B20" s="44" t="str">
        <f>caiação!B19</f>
        <v>OCULOS DE SEGURANÇA                                       SINAPI/FEV/2023</v>
      </c>
      <c r="C20" s="36">
        <f>C17</f>
        <v>2</v>
      </c>
      <c r="D20" s="36">
        <f>caiação!D19</f>
        <v>16</v>
      </c>
      <c r="E20" s="36">
        <f>Tabela9152014[[#This Row],[V. UNITÁRIO]]*Tabela9152014[[#This Row],[QUANT.]]</f>
        <v>32</v>
      </c>
    </row>
    <row r="21" spans="1:5" ht="24">
      <c r="A21" s="118">
        <v>5</v>
      </c>
      <c r="B21" s="119" t="str">
        <f>caiação!B21</f>
        <v>BOTA DE SEGURANÇA                                                            SINAPI/FEV/2023</v>
      </c>
      <c r="C21" s="116">
        <f>C4+C7+C10</f>
        <v>4</v>
      </c>
      <c r="D21" s="116">
        <f>[3]coleta!D22</f>
        <v>70</v>
      </c>
      <c r="E21" s="116">
        <f>Tabela9152014[[#This Row],[V. UNITÁRIO]]*Tabela9152014[[#This Row],[QUANT.]]</f>
        <v>280</v>
      </c>
    </row>
    <row r="22" spans="1:5" ht="24">
      <c r="A22" s="43">
        <v>6</v>
      </c>
      <c r="B22" s="44" t="str">
        <f>roçada!B22</f>
        <v>UNIFORME COM FAIXA REFLETIVA                            COTAÇÃO</v>
      </c>
      <c r="C22" s="36">
        <f>C21</f>
        <v>4</v>
      </c>
      <c r="D22" s="36">
        <v>150</v>
      </c>
      <c r="E22" s="36">
        <v>450</v>
      </c>
    </row>
    <row r="23" spans="1:5" ht="27.6" customHeight="1">
      <c r="A23" s="120"/>
      <c r="B23" s="162"/>
      <c r="C23" s="162"/>
      <c r="D23" s="163" t="s">
        <v>5</v>
      </c>
      <c r="E23" s="164">
        <f>SUBTOTAL(109,E17:E22)</f>
        <v>834</v>
      </c>
    </row>
    <row r="24" spans="1:5">
      <c r="A24" s="89"/>
      <c r="B24" s="169" t="s">
        <v>54</v>
      </c>
      <c r="C24" s="66"/>
      <c r="D24" s="66"/>
      <c r="E24" s="91"/>
    </row>
    <row r="25" spans="1:5">
      <c r="A25" s="30" t="s">
        <v>0</v>
      </c>
      <c r="B25" s="31" t="s">
        <v>1</v>
      </c>
      <c r="C25" s="31" t="s">
        <v>30</v>
      </c>
      <c r="D25" s="31" t="s">
        <v>3</v>
      </c>
      <c r="E25" s="31" t="s">
        <v>4</v>
      </c>
    </row>
    <row r="26" spans="1:5" ht="24">
      <c r="A26" s="114">
        <v>1</v>
      </c>
      <c r="B26" s="115" t="s">
        <v>23</v>
      </c>
      <c r="C26" s="116">
        <f>C17</f>
        <v>2</v>
      </c>
      <c r="D26" s="116">
        <f>[3]varrição!D24</f>
        <v>26.9</v>
      </c>
      <c r="E26" s="116">
        <f>C26*D26</f>
        <v>53.8</v>
      </c>
    </row>
    <row r="27" spans="1:5">
      <c r="A27" s="34">
        <v>2</v>
      </c>
      <c r="B27" s="35" t="s">
        <v>62</v>
      </c>
      <c r="C27" s="36">
        <f>C26</f>
        <v>2</v>
      </c>
      <c r="D27" s="36">
        <f>[3]varrição!D26</f>
        <v>54.9</v>
      </c>
      <c r="E27" s="36">
        <f t="shared" ref="E27:E31" si="0">C27*D27</f>
        <v>109.8</v>
      </c>
    </row>
    <row r="28" spans="1:5" ht="24">
      <c r="A28" s="114">
        <v>3</v>
      </c>
      <c r="B28" s="115" t="s">
        <v>25</v>
      </c>
      <c r="C28" s="116">
        <f>C19</f>
        <v>2</v>
      </c>
      <c r="D28" s="116">
        <f>[3]varrição!D27</f>
        <v>49.9</v>
      </c>
      <c r="E28" s="116">
        <f t="shared" si="0"/>
        <v>99.8</v>
      </c>
    </row>
    <row r="29" spans="1:5" ht="24">
      <c r="A29" s="34">
        <v>4</v>
      </c>
      <c r="B29" s="35" t="s">
        <v>26</v>
      </c>
      <c r="C29" s="36">
        <f>C19</f>
        <v>2</v>
      </c>
      <c r="D29" s="36">
        <f>[3]varrição!D28</f>
        <v>57.61</v>
      </c>
      <c r="E29" s="36">
        <f t="shared" si="0"/>
        <v>115.22</v>
      </c>
    </row>
    <row r="30" spans="1:5" ht="24">
      <c r="A30" s="114">
        <v>5</v>
      </c>
      <c r="B30" s="115" t="s">
        <v>63</v>
      </c>
      <c r="C30" s="116">
        <f>202</f>
        <v>202</v>
      </c>
      <c r="D30" s="116">
        <v>9.5</v>
      </c>
      <c r="E30" s="116">
        <f t="shared" si="0"/>
        <v>1919</v>
      </c>
    </row>
    <row r="31" spans="1:5" ht="60">
      <c r="A31" s="34">
        <v>6</v>
      </c>
      <c r="B31" s="98" t="s">
        <v>149</v>
      </c>
      <c r="C31" s="99">
        <v>202</v>
      </c>
      <c r="D31" s="100">
        <v>196.17</v>
      </c>
      <c r="E31" s="36">
        <f t="shared" si="0"/>
        <v>39626.339999999997</v>
      </c>
    </row>
    <row r="32" spans="1:5">
      <c r="A32" s="120"/>
      <c r="B32" s="121"/>
      <c r="C32" s="121"/>
      <c r="D32" s="122" t="s">
        <v>5</v>
      </c>
      <c r="E32" s="123">
        <f>SUBTOTAL(109,E26:E31)</f>
        <v>41923.96</v>
      </c>
    </row>
    <row r="33" spans="1:5">
      <c r="A33" s="89"/>
      <c r="B33" s="169" t="s">
        <v>58</v>
      </c>
      <c r="C33" s="66"/>
      <c r="D33" s="66"/>
      <c r="E33" s="91"/>
    </row>
    <row r="34" spans="1:5">
      <c r="A34" s="30" t="s">
        <v>0</v>
      </c>
      <c r="B34" s="31" t="s">
        <v>1</v>
      </c>
      <c r="C34" s="31" t="s">
        <v>4</v>
      </c>
      <c r="D34" s="41"/>
      <c r="E34" s="41"/>
    </row>
    <row r="35" spans="1:5">
      <c r="A35" s="114">
        <v>1</v>
      </c>
      <c r="B35" s="115" t="s">
        <v>6</v>
      </c>
      <c r="C35" s="165">
        <f>E13</f>
        <v>12178.786421000001</v>
      </c>
      <c r="D35" s="41"/>
      <c r="E35" s="41"/>
    </row>
    <row r="36" spans="1:5">
      <c r="A36" s="34">
        <v>2</v>
      </c>
      <c r="B36" s="35" t="s">
        <v>7</v>
      </c>
      <c r="C36" s="49">
        <f>E23</f>
        <v>834</v>
      </c>
      <c r="D36" s="41"/>
      <c r="E36" s="41"/>
    </row>
    <row r="37" spans="1:5">
      <c r="A37" s="114">
        <v>3</v>
      </c>
      <c r="B37" s="115" t="s">
        <v>8</v>
      </c>
      <c r="C37" s="165">
        <f>E32</f>
        <v>41923.96</v>
      </c>
      <c r="D37" s="41"/>
      <c r="E37" s="41"/>
    </row>
    <row r="38" spans="1:5">
      <c r="A38" s="38"/>
      <c r="B38" s="50"/>
      <c r="C38" s="40">
        <f>SUBTOTAL(109,C35:C37)</f>
        <v>54936.746421000003</v>
      </c>
      <c r="D38" s="41"/>
      <c r="E38" s="41"/>
    </row>
    <row r="39" spans="1:5">
      <c r="A39" s="93"/>
      <c r="B39" s="94" t="s">
        <v>59</v>
      </c>
      <c r="C39" s="94"/>
      <c r="D39" s="58"/>
      <c r="E39" s="59"/>
    </row>
    <row r="40" spans="1:5">
      <c r="A40" s="30" t="s">
        <v>0</v>
      </c>
      <c r="B40" s="31" t="s">
        <v>1</v>
      </c>
      <c r="C40" s="51" t="s">
        <v>9</v>
      </c>
      <c r="D40" s="55" t="s">
        <v>3</v>
      </c>
      <c r="E40" s="41"/>
    </row>
    <row r="41" spans="1:5">
      <c r="A41" s="114">
        <v>1</v>
      </c>
      <c r="B41" s="127" t="s">
        <v>65</v>
      </c>
      <c r="C41" s="166" t="s">
        <v>29</v>
      </c>
      <c r="D41" s="165">
        <f>C38</f>
        <v>54936.746421000003</v>
      </c>
      <c r="E41" s="41"/>
    </row>
    <row r="42" spans="1:5">
      <c r="A42" s="34">
        <v>2</v>
      </c>
      <c r="B42" s="52" t="s">
        <v>64</v>
      </c>
      <c r="C42" s="95" t="s">
        <v>32</v>
      </c>
      <c r="D42" s="48">
        <f>960/12</f>
        <v>80</v>
      </c>
      <c r="E42" s="41"/>
    </row>
    <row r="43" spans="1:5">
      <c r="A43" s="130">
        <v>3</v>
      </c>
      <c r="B43" s="131" t="s">
        <v>66</v>
      </c>
      <c r="C43" s="167" t="s">
        <v>33</v>
      </c>
      <c r="D43" s="168">
        <f>D41/D42</f>
        <v>686.70933026250009</v>
      </c>
      <c r="E43" s="4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2DF5-25CB-4136-8F18-1F88A86DD4B8}">
  <dimension ref="A1:E48"/>
  <sheetViews>
    <sheetView topLeftCell="A19" workbookViewId="0">
      <selection activeCell="E48" sqref="E48"/>
    </sheetView>
  </sheetViews>
  <sheetFormatPr defaultRowHeight="15"/>
  <cols>
    <col min="2" max="2" width="37.5703125" customWidth="1"/>
    <col min="3" max="3" width="12.42578125" customWidth="1"/>
    <col min="4" max="4" width="16" customWidth="1"/>
    <col min="5" max="5" width="14.5703125" customWidth="1"/>
  </cols>
  <sheetData>
    <row r="1" spans="1:5">
      <c r="A1" s="57"/>
      <c r="B1" s="58" t="s">
        <v>53</v>
      </c>
      <c r="C1" s="58"/>
      <c r="D1" s="58"/>
      <c r="E1" s="59"/>
    </row>
    <row r="2" spans="1:5">
      <c r="A2" s="139" t="s">
        <v>0</v>
      </c>
      <c r="B2" s="139" t="s">
        <v>1</v>
      </c>
      <c r="C2" s="140" t="s">
        <v>30</v>
      </c>
      <c r="D2" s="140" t="s">
        <v>3</v>
      </c>
      <c r="E2" s="140" t="s">
        <v>4</v>
      </c>
    </row>
    <row r="3" spans="1:5" ht="36">
      <c r="A3" s="53">
        <v>1</v>
      </c>
      <c r="B3" s="35" t="s">
        <v>106</v>
      </c>
      <c r="C3" s="36">
        <v>1</v>
      </c>
      <c r="D3" s="36">
        <v>1912.38</v>
      </c>
      <c r="E3" s="36">
        <f>C3*D3</f>
        <v>1912.38</v>
      </c>
    </row>
    <row r="4" spans="1:5" ht="24">
      <c r="A4" s="141">
        <v>2</v>
      </c>
      <c r="B4" s="115" t="str">
        <f>varrição!B5</f>
        <v>ENCARGOS SOCIAIS - MENSALISTAS - 83,39%</v>
      </c>
      <c r="C4" s="116">
        <v>1</v>
      </c>
      <c r="D4" s="116">
        <f>D3*0.8339</f>
        <v>1594.733682</v>
      </c>
      <c r="E4" s="116">
        <f t="shared" ref="E4:E14" si="0">C4*D4</f>
        <v>1594.733682</v>
      </c>
    </row>
    <row r="5" spans="1:5" ht="24">
      <c r="A5" s="53">
        <v>3</v>
      </c>
      <c r="B5" s="35" t="str">
        <f>varrição!B6</f>
        <v>AUXILIO ALIMENTAÇÃO - CONVENÇÃO COLETIVA 2023 - STEAC/MS</v>
      </c>
      <c r="C5" s="36">
        <v>1</v>
      </c>
      <c r="D5" s="36">
        <f>varrição!D6</f>
        <v>290</v>
      </c>
      <c r="E5" s="36">
        <f t="shared" si="0"/>
        <v>290</v>
      </c>
    </row>
    <row r="6" spans="1:5" ht="36">
      <c r="A6" s="53">
        <v>4</v>
      </c>
      <c r="B6" s="35" t="s">
        <v>118</v>
      </c>
      <c r="C6" s="36">
        <v>2</v>
      </c>
      <c r="D6" s="36">
        <v>1912.38</v>
      </c>
      <c r="E6" s="36">
        <f>C6*D6</f>
        <v>3824.76</v>
      </c>
    </row>
    <row r="7" spans="1:5" ht="24">
      <c r="A7" s="141">
        <v>5</v>
      </c>
      <c r="B7" s="115" t="str">
        <f>varrição!B8</f>
        <v>ENCARGOS SOCIAIS - MENSALISTAS - 83,39%</v>
      </c>
      <c r="C7" s="116">
        <v>2</v>
      </c>
      <c r="D7" s="116">
        <v>1383.67</v>
      </c>
      <c r="E7" s="116">
        <f t="shared" ref="E7:E8" si="1">C7*D7</f>
        <v>2767.34</v>
      </c>
    </row>
    <row r="8" spans="1:5" ht="24">
      <c r="A8" s="53">
        <v>6</v>
      </c>
      <c r="B8" s="35" t="str">
        <f>varrição!B9</f>
        <v>AUXILIO ALIMENTAÇÃO - CONVENÇÃO COLETIVA 2023 - STEAC/MS</v>
      </c>
      <c r="C8" s="36">
        <v>2</v>
      </c>
      <c r="D8" s="36">
        <f>varrição!D9</f>
        <v>290</v>
      </c>
      <c r="E8" s="36">
        <f t="shared" si="1"/>
        <v>580</v>
      </c>
    </row>
    <row r="9" spans="1:5" ht="36">
      <c r="A9" s="141">
        <v>7</v>
      </c>
      <c r="B9" s="115" t="s">
        <v>90</v>
      </c>
      <c r="C9" s="116">
        <v>1</v>
      </c>
      <c r="D9" s="116">
        <f>varrição!D7</f>
        <v>1736.16</v>
      </c>
      <c r="E9" s="116">
        <f t="shared" si="0"/>
        <v>1736.16</v>
      </c>
    </row>
    <row r="10" spans="1:5" ht="24">
      <c r="A10" s="53">
        <v>8</v>
      </c>
      <c r="B10" s="35" t="str">
        <f>B4</f>
        <v>ENCARGOS SOCIAIS - MENSALISTAS - 83,39%</v>
      </c>
      <c r="C10" s="36">
        <v>1</v>
      </c>
      <c r="D10" s="36">
        <f>D9*0.8339</f>
        <v>1447.7838240000001</v>
      </c>
      <c r="E10" s="36">
        <f t="shared" si="0"/>
        <v>1447.7838240000001</v>
      </c>
    </row>
    <row r="11" spans="1:5" ht="24">
      <c r="A11" s="141">
        <v>9</v>
      </c>
      <c r="B11" s="115" t="str">
        <f>B5</f>
        <v>AUXILIO ALIMENTAÇÃO - CONVENÇÃO COLETIVA 2023 - STEAC/MS</v>
      </c>
      <c r="C11" s="116">
        <v>1</v>
      </c>
      <c r="D11" s="116">
        <f>D5</f>
        <v>290</v>
      </c>
      <c r="E11" s="116">
        <f t="shared" si="0"/>
        <v>290</v>
      </c>
    </row>
    <row r="12" spans="1:5" ht="24">
      <c r="A12" s="53">
        <v>10</v>
      </c>
      <c r="B12" s="35" t="s">
        <v>91</v>
      </c>
      <c r="C12" s="36">
        <v>1</v>
      </c>
      <c r="D12" s="36">
        <f>varrição!D10</f>
        <v>1971.13</v>
      </c>
      <c r="E12" s="36">
        <f t="shared" si="0"/>
        <v>1971.13</v>
      </c>
    </row>
    <row r="13" spans="1:5" ht="24">
      <c r="A13" s="141">
        <v>11</v>
      </c>
      <c r="B13" s="115" t="str">
        <f>B4</f>
        <v>ENCARGOS SOCIAIS - MENSALISTAS - 83,39%</v>
      </c>
      <c r="C13" s="116">
        <v>1</v>
      </c>
      <c r="D13" s="116">
        <f>D12*0.8339</f>
        <v>1643.7253069999999</v>
      </c>
      <c r="E13" s="116">
        <f t="shared" si="0"/>
        <v>1643.7253069999999</v>
      </c>
    </row>
    <row r="14" spans="1:5" ht="24">
      <c r="A14" s="53">
        <v>12</v>
      </c>
      <c r="B14" s="35" t="str">
        <f>B5</f>
        <v>AUXILIO ALIMENTAÇÃO - CONVENÇÃO COLETIVA 2023 - STEAC/MS</v>
      </c>
      <c r="C14" s="36">
        <f>C12</f>
        <v>1</v>
      </c>
      <c r="D14" s="36">
        <f>D11</f>
        <v>290</v>
      </c>
      <c r="E14" s="36">
        <f t="shared" si="0"/>
        <v>290</v>
      </c>
    </row>
    <row r="15" spans="1:5">
      <c r="A15" s="53"/>
      <c r="B15" s="81"/>
      <c r="C15" s="81"/>
      <c r="D15" s="81" t="s">
        <v>5</v>
      </c>
      <c r="E15" s="67">
        <f>SUM(E3:E14)</f>
        <v>18348.012813000001</v>
      </c>
    </row>
    <row r="16" spans="1:5">
      <c r="A16" s="41"/>
      <c r="B16" s="41"/>
      <c r="C16" s="41"/>
      <c r="D16" s="41"/>
      <c r="E16" s="41"/>
    </row>
    <row r="17" spans="1:5">
      <c r="A17" s="57"/>
      <c r="B17" s="58" t="s">
        <v>61</v>
      </c>
      <c r="C17" s="58"/>
      <c r="D17" s="58"/>
      <c r="E17" s="59"/>
    </row>
    <row r="18" spans="1:5">
      <c r="A18" s="140" t="s">
        <v>0</v>
      </c>
      <c r="B18" s="140" t="s">
        <v>1</v>
      </c>
      <c r="C18" s="140" t="s">
        <v>30</v>
      </c>
      <c r="D18" s="140" t="s">
        <v>3</v>
      </c>
      <c r="E18" s="140" t="s">
        <v>4</v>
      </c>
    </row>
    <row r="19" spans="1:5" ht="24">
      <c r="A19" s="82">
        <v>1</v>
      </c>
      <c r="B19" s="44" t="s">
        <v>97</v>
      </c>
      <c r="C19" s="36">
        <v>2</v>
      </c>
      <c r="D19" s="36">
        <v>12.51</v>
      </c>
      <c r="E19" s="36">
        <f>C19*D19</f>
        <v>25.02</v>
      </c>
    </row>
    <row r="20" spans="1:5" ht="24">
      <c r="A20" s="142">
        <v>2</v>
      </c>
      <c r="B20" s="119" t="s">
        <v>55</v>
      </c>
      <c r="C20" s="116">
        <v>2</v>
      </c>
      <c r="D20" s="116">
        <v>12</v>
      </c>
      <c r="E20" s="116">
        <f t="shared" ref="E20:E25" si="2">C20*D20</f>
        <v>24</v>
      </c>
    </row>
    <row r="21" spans="1:5" ht="24">
      <c r="A21" s="82">
        <v>3</v>
      </c>
      <c r="B21" s="44" t="s">
        <v>56</v>
      </c>
      <c r="C21" s="36">
        <v>2</v>
      </c>
      <c r="D21" s="36">
        <v>15</v>
      </c>
      <c r="E21" s="36">
        <f t="shared" si="2"/>
        <v>30</v>
      </c>
    </row>
    <row r="22" spans="1:5" ht="24">
      <c r="A22" s="142">
        <v>4</v>
      </c>
      <c r="B22" s="119" t="s">
        <v>98</v>
      </c>
      <c r="C22" s="116">
        <v>2</v>
      </c>
      <c r="D22" s="116">
        <v>16</v>
      </c>
      <c r="E22" s="116">
        <f t="shared" si="2"/>
        <v>32</v>
      </c>
    </row>
    <row r="23" spans="1:5" ht="24">
      <c r="A23" s="82">
        <v>5</v>
      </c>
      <c r="B23" s="44" t="s">
        <v>57</v>
      </c>
      <c r="C23" s="36">
        <v>2</v>
      </c>
      <c r="D23" s="36">
        <v>2.5</v>
      </c>
      <c r="E23" s="36">
        <f t="shared" si="2"/>
        <v>5</v>
      </c>
    </row>
    <row r="24" spans="1:5" ht="24">
      <c r="A24" s="142">
        <v>6</v>
      </c>
      <c r="B24" s="119" t="s">
        <v>99</v>
      </c>
      <c r="C24" s="143">
        <f>C3+C9+C12</f>
        <v>3</v>
      </c>
      <c r="D24" s="116">
        <v>66.72</v>
      </c>
      <c r="E24" s="116">
        <f t="shared" si="2"/>
        <v>200.16</v>
      </c>
    </row>
    <row r="25" spans="1:5" ht="24">
      <c r="A25" s="82">
        <v>7</v>
      </c>
      <c r="B25" s="44" t="s">
        <v>44</v>
      </c>
      <c r="C25" s="36">
        <f>C24</f>
        <v>3</v>
      </c>
      <c r="D25" s="36">
        <v>150</v>
      </c>
      <c r="E25" s="36">
        <f t="shared" si="2"/>
        <v>450</v>
      </c>
    </row>
    <row r="26" spans="1:5">
      <c r="A26" s="68"/>
      <c r="B26" s="83"/>
      <c r="C26" s="83"/>
      <c r="D26" s="83" t="s">
        <v>5</v>
      </c>
      <c r="E26" s="83">
        <f>SUM(E19:E25)</f>
        <v>766.18000000000006</v>
      </c>
    </row>
    <row r="27" spans="1:5">
      <c r="A27" s="57"/>
      <c r="B27" s="58" t="s">
        <v>54</v>
      </c>
      <c r="C27" s="58"/>
      <c r="D27" s="58"/>
      <c r="E27" s="59"/>
    </row>
    <row r="28" spans="1:5">
      <c r="A28" s="139" t="s">
        <v>0</v>
      </c>
      <c r="B28" s="139" t="s">
        <v>1</v>
      </c>
      <c r="C28" s="139" t="s">
        <v>30</v>
      </c>
      <c r="D28" s="139" t="s">
        <v>3</v>
      </c>
      <c r="E28" s="139" t="s">
        <v>4</v>
      </c>
    </row>
    <row r="29" spans="1:5" ht="24">
      <c r="A29" s="141">
        <v>1</v>
      </c>
      <c r="B29" s="115" t="s">
        <v>23</v>
      </c>
      <c r="C29" s="116">
        <v>4</v>
      </c>
      <c r="D29" s="116">
        <v>26.9</v>
      </c>
      <c r="E29" s="116">
        <f t="shared" ref="E29:E35" si="3">C29*D29</f>
        <v>107.6</v>
      </c>
    </row>
    <row r="30" spans="1:5">
      <c r="A30" s="53">
        <v>2</v>
      </c>
      <c r="B30" s="35" t="s">
        <v>62</v>
      </c>
      <c r="C30" s="36">
        <v>4</v>
      </c>
      <c r="D30" s="36">
        <v>54.9</v>
      </c>
      <c r="E30" s="36">
        <f t="shared" si="3"/>
        <v>219.6</v>
      </c>
    </row>
    <row r="31" spans="1:5" ht="24">
      <c r="A31" s="141">
        <v>3</v>
      </c>
      <c r="B31" s="221" t="s">
        <v>108</v>
      </c>
      <c r="C31" s="222">
        <v>13100</v>
      </c>
      <c r="D31" s="223" t="s">
        <v>113</v>
      </c>
      <c r="E31" s="116">
        <f t="shared" si="3"/>
        <v>11004</v>
      </c>
    </row>
    <row r="32" spans="1:5" ht="24">
      <c r="A32" s="53">
        <v>4</v>
      </c>
      <c r="B32" s="98" t="s">
        <v>109</v>
      </c>
      <c r="C32" s="99">
        <v>23</v>
      </c>
      <c r="D32" s="100" t="s">
        <v>114</v>
      </c>
      <c r="E32" s="36">
        <f t="shared" si="3"/>
        <v>2096.91</v>
      </c>
    </row>
    <row r="33" spans="1:5" ht="24">
      <c r="A33" s="141">
        <v>5</v>
      </c>
      <c r="B33" s="221" t="s">
        <v>110</v>
      </c>
      <c r="C33" s="222">
        <v>37</v>
      </c>
      <c r="D33" s="223" t="s">
        <v>115</v>
      </c>
      <c r="E33" s="116">
        <f t="shared" si="3"/>
        <v>3588.6299999999997</v>
      </c>
    </row>
    <row r="34" spans="1:5" ht="24">
      <c r="A34" s="53">
        <v>6</v>
      </c>
      <c r="B34" s="98" t="s">
        <v>111</v>
      </c>
      <c r="C34" s="99">
        <v>359</v>
      </c>
      <c r="D34" s="100" t="s">
        <v>116</v>
      </c>
      <c r="E34" s="36">
        <f t="shared" si="3"/>
        <v>4598.79</v>
      </c>
    </row>
    <row r="35" spans="1:5" ht="36">
      <c r="A35" s="141">
        <v>7</v>
      </c>
      <c r="B35" s="221" t="s">
        <v>112</v>
      </c>
      <c r="C35" s="222">
        <v>109</v>
      </c>
      <c r="D35" s="223" t="s">
        <v>117</v>
      </c>
      <c r="E35" s="116">
        <f t="shared" si="3"/>
        <v>952.66</v>
      </c>
    </row>
    <row r="36" spans="1:5">
      <c r="A36" s="68"/>
      <c r="B36" s="81"/>
      <c r="C36" s="81"/>
      <c r="D36" s="81" t="s">
        <v>5</v>
      </c>
      <c r="E36" s="84">
        <f>SUM(E29:E35)</f>
        <v>22568.190000000002</v>
      </c>
    </row>
    <row r="37" spans="1:5">
      <c r="A37" s="193"/>
      <c r="B37" s="194" t="s">
        <v>58</v>
      </c>
      <c r="C37" s="194"/>
      <c r="D37" s="194"/>
      <c r="E37" s="195"/>
    </row>
    <row r="38" spans="1:5">
      <c r="A38" s="109">
        <v>1</v>
      </c>
      <c r="B38" s="110" t="s">
        <v>6</v>
      </c>
      <c r="C38" s="111"/>
      <c r="D38" s="112"/>
      <c r="E38" s="113">
        <f>E15</f>
        <v>18348.012813000001</v>
      </c>
    </row>
    <row r="39" spans="1:5">
      <c r="A39" s="149">
        <v>2</v>
      </c>
      <c r="B39" s="150" t="s">
        <v>7</v>
      </c>
      <c r="C39" s="151"/>
      <c r="D39" s="152"/>
      <c r="E39" s="153">
        <f>E26</f>
        <v>766.18000000000006</v>
      </c>
    </row>
    <row r="40" spans="1:5">
      <c r="A40" s="109">
        <v>3</v>
      </c>
      <c r="B40" s="110" t="s">
        <v>8</v>
      </c>
      <c r="C40" s="111"/>
      <c r="D40" s="112"/>
      <c r="E40" s="113">
        <f>E36</f>
        <v>22568.190000000002</v>
      </c>
    </row>
    <row r="41" spans="1:5">
      <c r="A41" s="144"/>
      <c r="B41" s="145"/>
      <c r="C41" s="146"/>
      <c r="D41" s="147" t="s">
        <v>60</v>
      </c>
      <c r="E41" s="224">
        <f>SUM(E38:E40)</f>
        <v>41682.382813000004</v>
      </c>
    </row>
    <row r="42" spans="1:5">
      <c r="A42" s="57"/>
      <c r="B42" s="66" t="s">
        <v>59</v>
      </c>
      <c r="C42" s="66"/>
      <c r="D42" s="58"/>
      <c r="E42" s="59"/>
    </row>
    <row r="43" spans="1:5">
      <c r="A43" s="154" t="s">
        <v>0</v>
      </c>
      <c r="B43" s="225" t="s">
        <v>1</v>
      </c>
      <c r="C43" s="156"/>
      <c r="D43" s="157" t="s">
        <v>9</v>
      </c>
      <c r="E43" s="139" t="s">
        <v>3</v>
      </c>
    </row>
    <row r="44" spans="1:5">
      <c r="A44" s="53">
        <v>1</v>
      </c>
      <c r="B44" s="85" t="s">
        <v>119</v>
      </c>
      <c r="C44" s="86"/>
      <c r="D44" s="53" t="s">
        <v>29</v>
      </c>
      <c r="E44" s="75">
        <f>E41</f>
        <v>41682.382813000004</v>
      </c>
    </row>
    <row r="45" spans="1:5">
      <c r="A45" s="141">
        <v>2</v>
      </c>
      <c r="B45" s="155" t="s">
        <v>43</v>
      </c>
      <c r="C45" s="156"/>
      <c r="D45" s="141" t="s">
        <v>85</v>
      </c>
      <c r="E45" s="158">
        <v>1000</v>
      </c>
    </row>
    <row r="46" spans="1:5">
      <c r="A46" s="53">
        <v>3</v>
      </c>
      <c r="B46" s="85" t="s">
        <v>120</v>
      </c>
      <c r="C46" s="86"/>
      <c r="D46" s="53" t="s">
        <v>86</v>
      </c>
      <c r="E46" s="36">
        <f>E44/E45</f>
        <v>41.682382813000004</v>
      </c>
    </row>
    <row r="48" spans="1:5">
      <c r="E48" s="22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</vt:i4>
      </vt:variant>
    </vt:vector>
  </HeadingPairs>
  <TitlesOfParts>
    <vt:vector size="14" baseType="lpstr">
      <vt:lpstr>PLANILHA ORÇAMENTÁRIA</vt:lpstr>
      <vt:lpstr>CRONOGRAMA FÍSICO FINANCEIRO</vt:lpstr>
      <vt:lpstr>ORÇAMENTO DESONERADO</vt:lpstr>
      <vt:lpstr>varrição</vt:lpstr>
      <vt:lpstr>caiação</vt:lpstr>
      <vt:lpstr>roçada</vt:lpstr>
      <vt:lpstr>bueiro</vt:lpstr>
      <vt:lpstr>PODA</vt:lpstr>
      <vt:lpstr>reparo meio fio</vt:lpstr>
      <vt:lpstr>BDI DESONERADO</vt:lpstr>
      <vt:lpstr>ORÇAMENTO SEM DESONERAÇÃO</vt:lpstr>
      <vt:lpstr>BDI SEM DESONERAÇÃO</vt:lpstr>
      <vt:lpstr>'BDI DESONERADO'!Area_de_impressao</vt:lpstr>
      <vt:lpstr>'BDI SEM DESONERAÇÃO'!Area_de_impressao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Marques</dc:creator>
  <cp:lastModifiedBy>Usuario</cp:lastModifiedBy>
  <cp:lastPrinted>2023-08-17T21:29:41Z</cp:lastPrinted>
  <dcterms:created xsi:type="dcterms:W3CDTF">2020-12-10T19:34:16Z</dcterms:created>
  <dcterms:modified xsi:type="dcterms:W3CDTF">2023-08-17T21:29:45Z</dcterms:modified>
</cp:coreProperties>
</file>